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13DC72A-ACE9-4F99-AFD8-CE893A875D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S MAK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2" l="1"/>
  <c r="B32" i="2" l="1"/>
  <c r="B60" i="2" l="1"/>
  <c r="B61" i="2" s="1"/>
  <c r="B84" i="2" l="1"/>
  <c r="P5" i="2"/>
  <c r="E93" i="2"/>
  <c r="F93" i="2"/>
  <c r="G93" i="2"/>
  <c r="H93" i="2"/>
  <c r="I93" i="2"/>
  <c r="J93" i="2"/>
  <c r="K93" i="2"/>
  <c r="L93" i="2"/>
  <c r="M93" i="2"/>
  <c r="N93" i="2"/>
  <c r="O93" i="2"/>
  <c r="P93" i="2"/>
  <c r="D93" i="2"/>
  <c r="E47" i="2" l="1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P47" i="2" s="1"/>
  <c r="E48" i="2"/>
  <c r="F48" i="2" s="1"/>
  <c r="G48" i="2" s="1"/>
  <c r="H48" i="2" s="1"/>
  <c r="I48" i="2" s="1"/>
  <c r="J48" i="2" s="1"/>
  <c r="K48" i="2" s="1"/>
  <c r="L48" i="2" s="1"/>
  <c r="M48" i="2" s="1"/>
  <c r="N48" i="2" s="1"/>
  <c r="O48" i="2" s="1"/>
  <c r="P48" i="2" s="1"/>
  <c r="E49" i="2"/>
  <c r="F49" i="2" s="1"/>
  <c r="G49" i="2" s="1"/>
  <c r="H49" i="2" s="1"/>
  <c r="I49" i="2" s="1"/>
  <c r="J49" i="2" s="1"/>
  <c r="K49" i="2" s="1"/>
  <c r="L49" i="2" s="1"/>
  <c r="M49" i="2" s="1"/>
  <c r="N49" i="2" s="1"/>
  <c r="O49" i="2" s="1"/>
  <c r="P49" i="2" s="1"/>
  <c r="E46" i="2"/>
  <c r="F46" i="2" l="1"/>
  <c r="C60" i="2"/>
  <c r="B51" i="2"/>
  <c r="B22" i="2"/>
  <c r="B23" i="2"/>
  <c r="B63" i="2" l="1"/>
  <c r="G46" i="2"/>
  <c r="C23" i="2"/>
  <c r="C22" i="2"/>
  <c r="C11" i="2"/>
  <c r="C10" i="2"/>
  <c r="C17" i="2"/>
  <c r="C16" i="2"/>
  <c r="H46" i="2" l="1"/>
  <c r="I46" i="2" s="1"/>
  <c r="J46" i="2" s="1"/>
  <c r="K46" i="2" s="1"/>
  <c r="L46" i="2" s="1"/>
  <c r="M46" i="2" s="1"/>
  <c r="N46" i="2" s="1"/>
  <c r="O46" i="2" s="1"/>
  <c r="P46" i="2" s="1"/>
  <c r="C32" i="2"/>
  <c r="B66" i="2"/>
  <c r="B82" i="2"/>
  <c r="B16" i="2"/>
  <c r="B17" i="2"/>
  <c r="B11" i="2"/>
  <c r="B10" i="2"/>
  <c r="B33" i="2" l="1"/>
  <c r="C9" i="2"/>
  <c r="D9" i="2" s="1"/>
  <c r="C8" i="2"/>
  <c r="D8" i="2" s="1"/>
  <c r="D58" i="2"/>
  <c r="D60" i="2" s="1"/>
  <c r="E58" i="2" l="1"/>
  <c r="E60" i="2" s="1"/>
  <c r="F58" i="2" l="1"/>
  <c r="F60" i="2" s="1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G58" i="2" l="1"/>
  <c r="G60" i="2" s="1"/>
  <c r="B38" i="2"/>
  <c r="C38" i="2"/>
  <c r="H58" i="2" l="1"/>
  <c r="D53" i="2"/>
  <c r="E53" i="2" s="1"/>
  <c r="F53" i="2" s="1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I58" i="2" l="1"/>
  <c r="J58" i="2" l="1"/>
  <c r="C51" i="2"/>
  <c r="D32" i="2" s="1"/>
  <c r="P77" i="2"/>
  <c r="P84" i="2"/>
  <c r="K58" i="2" l="1"/>
  <c r="D51" i="2"/>
  <c r="L58" i="2" l="1"/>
  <c r="E51" i="2"/>
  <c r="P33" i="2"/>
  <c r="M58" i="2" l="1"/>
  <c r="F51" i="2"/>
  <c r="N58" i="2" l="1"/>
  <c r="H60" i="2"/>
  <c r="G51" i="2"/>
  <c r="E32" i="2"/>
  <c r="O58" i="2" l="1"/>
  <c r="H51" i="2"/>
  <c r="I60" i="2"/>
  <c r="F32" i="2"/>
  <c r="P58" i="2" l="1"/>
  <c r="J60" i="2"/>
  <c r="I51" i="2"/>
  <c r="G32" i="2"/>
  <c r="K60" i="2" l="1"/>
  <c r="J51" i="2"/>
  <c r="H32" i="2"/>
  <c r="I32" i="2"/>
  <c r="B41" i="2"/>
  <c r="C33" i="2"/>
  <c r="L60" i="2" l="1"/>
  <c r="K51" i="2"/>
  <c r="J32" i="2"/>
  <c r="C41" i="2"/>
  <c r="M60" i="2" l="1"/>
  <c r="L51" i="2"/>
  <c r="D33" i="2"/>
  <c r="C63" i="2"/>
  <c r="D41" i="2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N60" i="2" l="1"/>
  <c r="M51" i="2"/>
  <c r="K32" i="2"/>
  <c r="D26" i="2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D21" i="2"/>
  <c r="E21" i="2" s="1"/>
  <c r="F21" i="2" s="1"/>
  <c r="G21" i="2" s="1"/>
  <c r="H21" i="2" s="1"/>
  <c r="I21" i="2" s="1"/>
  <c r="J21" i="2" s="1"/>
  <c r="K21" i="2" s="1"/>
  <c r="L21" i="2" s="1"/>
  <c r="M21" i="2" s="1"/>
  <c r="D11" i="2"/>
  <c r="E11" i="2" s="1"/>
  <c r="F11" i="2" s="1"/>
  <c r="L32" i="2"/>
  <c r="E63" i="2"/>
  <c r="E41" i="2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B28" i="2"/>
  <c r="B9" i="2"/>
  <c r="B8" i="2"/>
  <c r="D23" i="2"/>
  <c r="E23" i="2" s="1"/>
  <c r="F23" i="2" s="1"/>
  <c r="G23" i="2" s="1"/>
  <c r="H23" i="2" s="1"/>
  <c r="I23" i="2" s="1"/>
  <c r="J23" i="2" s="1"/>
  <c r="K23" i="2" s="1"/>
  <c r="L23" i="2" s="1"/>
  <c r="M23" i="2" s="1"/>
  <c r="D22" i="2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D24" i="2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6" i="2" l="1"/>
  <c r="P26" i="2" s="1"/>
  <c r="B35" i="2"/>
  <c r="B54" i="2" s="1"/>
  <c r="B52" i="2" s="1"/>
  <c r="B67" i="2"/>
  <c r="B68" i="2" s="1"/>
  <c r="B71" i="2" s="1"/>
  <c r="B83" i="2"/>
  <c r="O24" i="2"/>
  <c r="P24" i="2" s="1"/>
  <c r="P10" i="2"/>
  <c r="O18" i="2"/>
  <c r="O60" i="2"/>
  <c r="N51" i="2"/>
  <c r="N23" i="2"/>
  <c r="N21" i="2"/>
  <c r="D63" i="2"/>
  <c r="E18" i="2"/>
  <c r="F41" i="2"/>
  <c r="D18" i="2"/>
  <c r="D19" i="2"/>
  <c r="E19" i="2"/>
  <c r="E88" i="2"/>
  <c r="F88" i="2" s="1"/>
  <c r="G88" i="2" s="1"/>
  <c r="H88" i="2" s="1"/>
  <c r="I88" i="2" s="1"/>
  <c r="J88" i="2" s="1"/>
  <c r="K88" i="2" s="1"/>
  <c r="L88" i="2" s="1"/>
  <c r="M88" i="2" s="1"/>
  <c r="N88" i="2" s="1"/>
  <c r="O88" i="2" s="1"/>
  <c r="P88" i="2" s="1"/>
  <c r="D65" i="2"/>
  <c r="E65" i="2" s="1"/>
  <c r="F65" i="2" s="1"/>
  <c r="G65" i="2" s="1"/>
  <c r="H65" i="2" s="1"/>
  <c r="I65" i="2" s="1"/>
  <c r="J65" i="2" s="1"/>
  <c r="K65" i="2" s="1"/>
  <c r="L65" i="2" s="1"/>
  <c r="M65" i="2" s="1"/>
  <c r="N65" i="2" s="1"/>
  <c r="O65" i="2" s="1"/>
  <c r="P65" i="2" s="1"/>
  <c r="D81" i="2"/>
  <c r="E81" i="2" s="1"/>
  <c r="F81" i="2" s="1"/>
  <c r="G81" i="2" s="1"/>
  <c r="H81" i="2" s="1"/>
  <c r="I81" i="2" s="1"/>
  <c r="J81" i="2" s="1"/>
  <c r="K81" i="2" s="1"/>
  <c r="L81" i="2" s="1"/>
  <c r="M81" i="2" s="1"/>
  <c r="N81" i="2" s="1"/>
  <c r="O81" i="2" s="1"/>
  <c r="P81" i="2" s="1"/>
  <c r="O21" i="2" l="1"/>
  <c r="P21" i="2" s="1"/>
  <c r="O23" i="2"/>
  <c r="P23" i="2" s="1"/>
  <c r="B86" i="2"/>
  <c r="B85" i="2"/>
  <c r="P60" i="2"/>
  <c r="O51" i="2"/>
  <c r="M32" i="2"/>
  <c r="F18" i="2"/>
  <c r="F63" i="2"/>
  <c r="G63" i="2"/>
  <c r="F19" i="2"/>
  <c r="G41" i="2"/>
  <c r="G11" i="2"/>
  <c r="H11" i="2" s="1"/>
  <c r="G18" i="2"/>
  <c r="D84" i="2"/>
  <c r="E84" i="2"/>
  <c r="F84" i="2"/>
  <c r="G84" i="2"/>
  <c r="H84" i="2"/>
  <c r="I84" i="2"/>
  <c r="J84" i="2"/>
  <c r="K84" i="2"/>
  <c r="L84" i="2"/>
  <c r="M84" i="2"/>
  <c r="N84" i="2"/>
  <c r="O84" i="2"/>
  <c r="C84" i="2"/>
  <c r="N32" i="2" l="1"/>
  <c r="H63" i="2"/>
  <c r="H41" i="2"/>
  <c r="H19" i="2" s="1"/>
  <c r="G19" i="2"/>
  <c r="H18" i="2"/>
  <c r="I11" i="2"/>
  <c r="P51" i="2" l="1"/>
  <c r="O32" i="2"/>
  <c r="P32" i="2"/>
  <c r="I63" i="2"/>
  <c r="I41" i="2"/>
  <c r="I19" i="2" s="1"/>
  <c r="J11" i="2"/>
  <c r="I18" i="2"/>
  <c r="E33" i="2"/>
  <c r="F33" i="2"/>
  <c r="G33" i="2"/>
  <c r="H33" i="2"/>
  <c r="I33" i="2"/>
  <c r="J33" i="2"/>
  <c r="K33" i="2"/>
  <c r="L33" i="2"/>
  <c r="M33" i="2"/>
  <c r="N33" i="2"/>
  <c r="O33" i="2"/>
  <c r="J63" i="2" l="1"/>
  <c r="J41" i="2"/>
  <c r="J19" i="2" s="1"/>
  <c r="K11" i="2"/>
  <c r="J18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D59" i="2"/>
  <c r="E59" i="2" s="1"/>
  <c r="F59" i="2" s="1"/>
  <c r="G59" i="2" s="1"/>
  <c r="H59" i="2" s="1"/>
  <c r="I59" i="2" s="1"/>
  <c r="J59" i="2" s="1"/>
  <c r="K59" i="2" s="1"/>
  <c r="L59" i="2" s="1"/>
  <c r="M59" i="2" s="1"/>
  <c r="N59" i="2" s="1"/>
  <c r="O59" i="2" s="1"/>
  <c r="P59" i="2" s="1"/>
  <c r="D45" i="2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O45" i="2" s="1"/>
  <c r="P45" i="2" s="1"/>
  <c r="C37" i="2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O37" i="2" s="1"/>
  <c r="P37" i="2" s="1"/>
  <c r="P61" i="2" l="1"/>
  <c r="K63" i="2"/>
  <c r="K41" i="2"/>
  <c r="K19" i="2" s="1"/>
  <c r="L11" i="2"/>
  <c r="K18" i="2"/>
  <c r="D25" i="2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B75" i="2"/>
  <c r="B77" i="2"/>
  <c r="O25" i="2" l="1"/>
  <c r="P25" i="2" s="1"/>
  <c r="L63" i="2"/>
  <c r="L41" i="2"/>
  <c r="L19" i="2" s="1"/>
  <c r="M11" i="2"/>
  <c r="L18" i="2"/>
  <c r="B74" i="2"/>
  <c r="B76" i="2" s="1"/>
  <c r="M41" i="2" l="1"/>
  <c r="N63" i="2"/>
  <c r="M18" i="2"/>
  <c r="M19" i="2"/>
  <c r="N11" i="2"/>
  <c r="C74" i="2"/>
  <c r="D61" i="2"/>
  <c r="C61" i="2"/>
  <c r="C82" i="2"/>
  <c r="C66" i="2"/>
  <c r="M63" i="2" l="1"/>
  <c r="N41" i="2"/>
  <c r="N19" i="2" s="1"/>
  <c r="O11" i="2"/>
  <c r="N18" i="2"/>
  <c r="D74" i="2"/>
  <c r="D89" i="2"/>
  <c r="E74" i="2"/>
  <c r="E89" i="2"/>
  <c r="E61" i="2"/>
  <c r="D82" i="2"/>
  <c r="D66" i="2"/>
  <c r="E82" i="2"/>
  <c r="E66" i="2"/>
  <c r="F89" i="2"/>
  <c r="P11" i="2" l="1"/>
  <c r="O19" i="2"/>
  <c r="P18" i="2"/>
  <c r="O41" i="2"/>
  <c r="P41" i="2"/>
  <c r="P19" i="2" s="1"/>
  <c r="F61" i="2"/>
  <c r="G89" i="2"/>
  <c r="F74" i="2"/>
  <c r="F66" i="2"/>
  <c r="F82" i="2"/>
  <c r="P63" i="2" l="1"/>
  <c r="O63" i="2"/>
  <c r="G61" i="2"/>
  <c r="H89" i="2"/>
  <c r="G66" i="2"/>
  <c r="G82" i="2"/>
  <c r="G74" i="2"/>
  <c r="P82" i="2" l="1"/>
  <c r="P74" i="2"/>
  <c r="P66" i="2"/>
  <c r="P89" i="2"/>
  <c r="H61" i="2"/>
  <c r="H82" i="2"/>
  <c r="H74" i="2"/>
  <c r="H66" i="2"/>
  <c r="I89" i="2"/>
  <c r="I61" i="2" l="1"/>
  <c r="J89" i="2"/>
  <c r="I82" i="2"/>
  <c r="I74" i="2"/>
  <c r="I66" i="2"/>
  <c r="J61" i="2" l="1"/>
  <c r="K89" i="2"/>
  <c r="J82" i="2"/>
  <c r="J74" i="2"/>
  <c r="J66" i="2"/>
  <c r="K61" i="2" l="1"/>
  <c r="L89" i="2"/>
  <c r="K74" i="2"/>
  <c r="K66" i="2"/>
  <c r="K82" i="2"/>
  <c r="L61" i="2" l="1"/>
  <c r="L74" i="2"/>
  <c r="L66" i="2"/>
  <c r="L82" i="2"/>
  <c r="M89" i="2"/>
  <c r="M61" i="2" l="1"/>
  <c r="O89" i="2"/>
  <c r="M74" i="2"/>
  <c r="M66" i="2"/>
  <c r="M82" i="2"/>
  <c r="N89" i="2"/>
  <c r="O61" i="2" l="1"/>
  <c r="N61" i="2"/>
  <c r="O66" i="2"/>
  <c r="O82" i="2"/>
  <c r="O74" i="2"/>
  <c r="N74" i="2"/>
  <c r="N66" i="2"/>
  <c r="N82" i="2"/>
  <c r="E8" i="2" l="1"/>
  <c r="D16" i="2"/>
  <c r="F8" i="2" l="1"/>
  <c r="E16" i="2"/>
  <c r="F16" i="2" l="1"/>
  <c r="G8" i="2"/>
  <c r="H8" i="2" l="1"/>
  <c r="G16" i="2"/>
  <c r="H16" i="2" l="1"/>
  <c r="I8" i="2"/>
  <c r="J8" i="2" l="1"/>
  <c r="I16" i="2"/>
  <c r="K8" i="2" l="1"/>
  <c r="J16" i="2"/>
  <c r="K16" i="2" l="1"/>
  <c r="L8" i="2"/>
  <c r="M8" i="2" l="1"/>
  <c r="L16" i="2"/>
  <c r="M16" i="2" l="1"/>
  <c r="N8" i="2"/>
  <c r="O8" i="2" l="1"/>
  <c r="O16" i="2" s="1"/>
  <c r="N16" i="2"/>
  <c r="P8" i="2" l="1"/>
  <c r="P16" i="2" s="1"/>
  <c r="C28" i="2"/>
  <c r="D17" i="2"/>
  <c r="D28" i="2" s="1"/>
  <c r="E9" i="2" l="1"/>
  <c r="F9" i="2" s="1"/>
  <c r="D35" i="2"/>
  <c r="D91" i="2"/>
  <c r="D94" i="2" s="1"/>
  <c r="D83" i="2"/>
  <c r="D67" i="2"/>
  <c r="D68" i="2" s="1"/>
  <c r="D71" i="2" s="1"/>
  <c r="D75" i="2"/>
  <c r="D76" i="2" s="1"/>
  <c r="C75" i="2"/>
  <c r="C76" i="2" s="1"/>
  <c r="C83" i="2"/>
  <c r="C35" i="2"/>
  <c r="C54" i="2" s="1"/>
  <c r="C52" i="2" s="1"/>
  <c r="C67" i="2"/>
  <c r="C68" i="2" s="1"/>
  <c r="C71" i="2" s="1"/>
  <c r="D95" i="2" l="1"/>
  <c r="E17" i="2"/>
  <c r="E28" i="2" s="1"/>
  <c r="E83" i="2" s="1"/>
  <c r="D54" i="2"/>
  <c r="D52" i="2" s="1"/>
  <c r="D85" i="2"/>
  <c r="D86" i="2"/>
  <c r="C85" i="2"/>
  <c r="C86" i="2"/>
  <c r="G9" i="2"/>
  <c r="F17" i="2"/>
  <c r="F28" i="2" s="1"/>
  <c r="E91" i="2" l="1"/>
  <c r="E94" i="2" s="1"/>
  <c r="E95" i="2" s="1"/>
  <c r="E35" i="2"/>
  <c r="E54" i="2" s="1"/>
  <c r="E52" i="2" s="1"/>
  <c r="E75" i="2"/>
  <c r="E76" i="2" s="1"/>
  <c r="E67" i="2"/>
  <c r="E68" i="2" s="1"/>
  <c r="E71" i="2" s="1"/>
  <c r="F35" i="2"/>
  <c r="F91" i="2"/>
  <c r="F94" i="2" s="1"/>
  <c r="F75" i="2"/>
  <c r="F76" i="2" s="1"/>
  <c r="F83" i="2"/>
  <c r="F67" i="2"/>
  <c r="F68" i="2" s="1"/>
  <c r="F71" i="2" s="1"/>
  <c r="H9" i="2"/>
  <c r="G17" i="2"/>
  <c r="G28" i="2" s="1"/>
  <c r="E85" i="2"/>
  <c r="E86" i="2"/>
  <c r="F54" i="2" l="1"/>
  <c r="F52" i="2" s="1"/>
  <c r="F95" i="2"/>
  <c r="G75" i="2"/>
  <c r="G76" i="2" s="1"/>
  <c r="G91" i="2"/>
  <c r="G94" i="2" s="1"/>
  <c r="G35" i="2"/>
  <c r="G83" i="2"/>
  <c r="G67" i="2"/>
  <c r="G68" i="2" s="1"/>
  <c r="G71" i="2" s="1"/>
  <c r="H17" i="2"/>
  <c r="H28" i="2" s="1"/>
  <c r="I9" i="2"/>
  <c r="F85" i="2"/>
  <c r="F86" i="2"/>
  <c r="G54" i="2" l="1"/>
  <c r="G52" i="2" s="1"/>
  <c r="G95" i="2"/>
  <c r="J9" i="2"/>
  <c r="I17" i="2"/>
  <c r="I28" i="2" s="1"/>
  <c r="H83" i="2"/>
  <c r="H67" i="2"/>
  <c r="H68" i="2" s="1"/>
  <c r="H71" i="2" s="1"/>
  <c r="H75" i="2"/>
  <c r="H76" i="2" s="1"/>
  <c r="H91" i="2"/>
  <c r="H94" i="2" s="1"/>
  <c r="H35" i="2"/>
  <c r="G85" i="2"/>
  <c r="G86" i="2"/>
  <c r="H54" i="2" l="1"/>
  <c r="H52" i="2" s="1"/>
  <c r="H95" i="2"/>
  <c r="H85" i="2"/>
  <c r="H86" i="2"/>
  <c r="I83" i="2"/>
  <c r="I91" i="2"/>
  <c r="I94" i="2" s="1"/>
  <c r="I67" i="2"/>
  <c r="I68" i="2" s="1"/>
  <c r="I71" i="2" s="1"/>
  <c r="I35" i="2"/>
  <c r="I75" i="2"/>
  <c r="I76" i="2" s="1"/>
  <c r="K9" i="2"/>
  <c r="J17" i="2"/>
  <c r="J28" i="2" s="1"/>
  <c r="I54" i="2" l="1"/>
  <c r="I52" i="2" s="1"/>
  <c r="I95" i="2"/>
  <c r="I86" i="2"/>
  <c r="I85" i="2"/>
  <c r="J75" i="2"/>
  <c r="J76" i="2" s="1"/>
  <c r="J91" i="2"/>
  <c r="J94" i="2" s="1"/>
  <c r="J67" i="2"/>
  <c r="J68" i="2" s="1"/>
  <c r="J71" i="2" s="1"/>
  <c r="J83" i="2"/>
  <c r="J35" i="2"/>
  <c r="L9" i="2"/>
  <c r="K17" i="2"/>
  <c r="K28" i="2" s="1"/>
  <c r="J54" i="2" l="1"/>
  <c r="J52" i="2" s="1"/>
  <c r="J95" i="2"/>
  <c r="J85" i="2"/>
  <c r="J86" i="2"/>
  <c r="K83" i="2"/>
  <c r="K35" i="2"/>
  <c r="K91" i="2"/>
  <c r="K94" i="2" s="1"/>
  <c r="K75" i="2"/>
  <c r="K76" i="2" s="1"/>
  <c r="K67" i="2"/>
  <c r="K68" i="2" s="1"/>
  <c r="K71" i="2" s="1"/>
  <c r="L17" i="2"/>
  <c r="L28" i="2" s="1"/>
  <c r="M9" i="2"/>
  <c r="K54" i="2" l="1"/>
  <c r="K52" i="2" s="1"/>
  <c r="K95" i="2"/>
  <c r="K85" i="2"/>
  <c r="K86" i="2"/>
  <c r="M17" i="2"/>
  <c r="M28" i="2" s="1"/>
  <c r="N9" i="2"/>
  <c r="L83" i="2"/>
  <c r="L91" i="2"/>
  <c r="L94" i="2" s="1"/>
  <c r="L35" i="2"/>
  <c r="L75" i="2"/>
  <c r="L76" i="2" s="1"/>
  <c r="L67" i="2"/>
  <c r="L68" i="2" s="1"/>
  <c r="L71" i="2" s="1"/>
  <c r="L54" i="2" l="1"/>
  <c r="L52" i="2" s="1"/>
  <c r="L95" i="2"/>
  <c r="L85" i="2"/>
  <c r="L86" i="2"/>
  <c r="N17" i="2"/>
  <c r="N28" i="2" s="1"/>
  <c r="O9" i="2"/>
  <c r="O17" i="2" s="1"/>
  <c r="M35" i="2"/>
  <c r="M67" i="2"/>
  <c r="M68" i="2" s="1"/>
  <c r="M71" i="2" s="1"/>
  <c r="M91" i="2"/>
  <c r="M94" i="2" s="1"/>
  <c r="M75" i="2"/>
  <c r="M76" i="2" s="1"/>
  <c r="M83" i="2"/>
  <c r="M54" i="2" l="1"/>
  <c r="M52" i="2" s="1"/>
  <c r="M95" i="2"/>
  <c r="O28" i="2"/>
  <c r="P9" i="2"/>
  <c r="P17" i="2" s="1"/>
  <c r="P28" i="2" s="1"/>
  <c r="N67" i="2"/>
  <c r="N68" i="2" s="1"/>
  <c r="N71" i="2" s="1"/>
  <c r="N35" i="2"/>
  <c r="N91" i="2"/>
  <c r="N94" i="2" s="1"/>
  <c r="N83" i="2"/>
  <c r="N75" i="2"/>
  <c r="N76" i="2" s="1"/>
  <c r="M86" i="2"/>
  <c r="M85" i="2"/>
  <c r="N54" i="2" l="1"/>
  <c r="N52" i="2" s="1"/>
  <c r="N95" i="2"/>
  <c r="P75" i="2"/>
  <c r="P76" i="2" s="1"/>
  <c r="P91" i="2"/>
  <c r="P94" i="2" s="1"/>
  <c r="P35" i="2"/>
  <c r="P83" i="2"/>
  <c r="P67" i="2"/>
  <c r="P68" i="2" s="1"/>
  <c r="P71" i="2" s="1"/>
  <c r="O83" i="2"/>
  <c r="O91" i="2"/>
  <c r="O94" i="2" s="1"/>
  <c r="O67" i="2"/>
  <c r="O68" i="2" s="1"/>
  <c r="O71" i="2" s="1"/>
  <c r="O75" i="2"/>
  <c r="O76" i="2" s="1"/>
  <c r="O35" i="2"/>
  <c r="N86" i="2"/>
  <c r="N85" i="2"/>
  <c r="P54" i="2" l="1"/>
  <c r="P52" i="2" s="1"/>
  <c r="O54" i="2"/>
  <c r="O52" i="2" s="1"/>
  <c r="O95" i="2"/>
  <c r="P95" i="2" s="1"/>
  <c r="O85" i="2"/>
  <c r="O86" i="2"/>
  <c r="P86" i="2"/>
  <c r="P85" i="2"/>
</calcChain>
</file>

<file path=xl/sharedStrings.xml><?xml version="1.0" encoding="utf-8"?>
<sst xmlns="http://schemas.openxmlformats.org/spreadsheetml/2006/main" count="77" uniqueCount="67">
  <si>
    <t>Hinnamuutuse indeks</t>
  </si>
  <si>
    <t>Vee-erikasutustasu</t>
  </si>
  <si>
    <t>Tööjõukulu muutuse indeks</t>
  </si>
  <si>
    <t>TOOTMISMAHUD</t>
  </si>
  <si>
    <t>MUUTUVKULUD</t>
  </si>
  <si>
    <t>PÜSIKULUD</t>
  </si>
  <si>
    <t>Tööjõukulu</t>
  </si>
  <si>
    <t>Reovee saastetasu</t>
  </si>
  <si>
    <t>VESI MÜÜDUD KOKKU</t>
  </si>
  <si>
    <t>REOVESI MÜÜDUD KOKKU</t>
  </si>
  <si>
    <t>TEGEVUSKULUDE JA LAENUKATTKORDAJA TÄITMINE</t>
  </si>
  <si>
    <t>TEGEVUSTULUD</t>
  </si>
  <si>
    <t>Elektrikulu reoveepuhasti ja -pumplad</t>
  </si>
  <si>
    <t>Elektrikulu joogiveevarustus</t>
  </si>
  <si>
    <t xml:space="preserve">Muud kulud </t>
  </si>
  <si>
    <t>FINANTSKOHUSTUSED</t>
  </si>
  <si>
    <t>TULUD KOKKU</t>
  </si>
  <si>
    <t>RAHAVOOG ENNE LAENUTEENINDUST</t>
  </si>
  <si>
    <t>LAENUKATTEKORDAJA</t>
  </si>
  <si>
    <t>TEGEVUSKULUD</t>
  </si>
  <si>
    <t>Teenuste kulu kuus keskmisel ühiktarbimisel</t>
  </si>
  <si>
    <t>Teenuse kulukus (%)</t>
  </si>
  <si>
    <t>OMAKAPITALI KULUM</t>
  </si>
  <si>
    <t>VEEMAJANDUSE EBITDA</t>
  </si>
  <si>
    <t>VEEMAJANDUSE TULEMINÄITAJAD</t>
  </si>
  <si>
    <t>TEGEVUSKULUD (KULUMITA)</t>
  </si>
  <si>
    <t>Reovesi reoveepuhastitesse (m3)</t>
  </si>
  <si>
    <t>VEEMAJANDUSE EBIT (OMAKAP.KULUMi KATMINE)</t>
  </si>
  <si>
    <t>Masinate ja kütuse kulud</t>
  </si>
  <si>
    <t>Hooldus (sh.kaubad, toore sisseost), vesi</t>
  </si>
  <si>
    <t>Hooldus (sh.kaubad, toore, sisseost), kanal.</t>
  </si>
  <si>
    <t>Sihtfinantseeringutevälise põhivara kulum</t>
  </si>
  <si>
    <t>Põhjendatud tulukus varadelt (WACC väärtusel 6,28%)</t>
  </si>
  <si>
    <t>Põhivara jääkmaksumus põhjendatud tulususe arvestamiseks</t>
  </si>
  <si>
    <t>RAHAVOOG (EBITDA) ENNE LAENUTEENINDUST</t>
  </si>
  <si>
    <t>SISSETULEKUD: TEGEVUSTULUD</t>
  </si>
  <si>
    <t>VÄLJAMINEKUD: TEGEVUSKULUD</t>
  </si>
  <si>
    <t xml:space="preserve">VÄLJAMINEKUD: INVESTEERINGUD </t>
  </si>
  <si>
    <t>VÄLJAMINEKUD: FINANTSKOHUSTUSED</t>
  </si>
  <si>
    <r>
      <t>MÜÜGIMAHT TEENUSPIIRKONNAS (M</t>
    </r>
    <r>
      <rPr>
        <b/>
        <sz val="11"/>
        <color theme="1"/>
        <rFont val="Calibri"/>
        <family val="2"/>
        <charset val="186"/>
      </rPr>
      <t>³)</t>
    </r>
  </si>
  <si>
    <t>Veetoodang (m3)</t>
  </si>
  <si>
    <t>VEEMAJANDUSTEENUSTE TEGEVUSKULUD KOKKU</t>
  </si>
  <si>
    <t>Käibekapitaliosa (5%) põhjendatud tulususe arvestamiseks</t>
  </si>
  <si>
    <t>MUU VEETEENUSTE TULU</t>
  </si>
  <si>
    <t>VEETEENUSTE PÕHJENDATUD TULUD (KONKURENTSIAMETI METOD.)</t>
  </si>
  <si>
    <r>
      <t>TEENUSTASUD TEENUSPIIRKONDADES m</t>
    </r>
    <r>
      <rPr>
        <b/>
        <sz val="11"/>
        <color theme="1"/>
        <rFont val="Calibri"/>
        <family val="2"/>
        <charset val="186"/>
      </rPr>
      <t>³</t>
    </r>
    <r>
      <rPr>
        <b/>
        <sz val="11"/>
        <color theme="1"/>
        <rFont val="Calibri"/>
        <family val="2"/>
        <charset val="186"/>
        <scheme val="minor"/>
      </rPr>
      <t xml:space="preserve"> kohta käibemaksuta</t>
    </r>
  </si>
  <si>
    <t>PÕHJENDATUD TARIIFITULUD</t>
  </si>
  <si>
    <t>Elanike keskmine ühiktarbimine l/p/in</t>
  </si>
  <si>
    <t>SISSETULEKUD: INVESTEERINGULAENUDE VÕTMINE</t>
  </si>
  <si>
    <t>LAENUKATTEKORDAJA ARVESTUS</t>
  </si>
  <si>
    <t>IT, administreeirimis- ja kommunikatsiooniteenuste kulud</t>
  </si>
  <si>
    <t>Veeteenustesse arvestatavate kulu- ja põhjendatud tulususkomponentide summa</t>
  </si>
  <si>
    <t>TARIIFIDE TULU, PROGNOOSTULU KOKKU</t>
  </si>
  <si>
    <t>Teenuspiirkondade majapidamised</t>
  </si>
  <si>
    <t>Teenuspiirkondade jur isikud</t>
  </si>
  <si>
    <t>Vesi, elanikud</t>
  </si>
  <si>
    <t>Reovesi, elanikud</t>
  </si>
  <si>
    <t>Vesi, jur isikud</t>
  </si>
  <si>
    <t>Reovesi, jur isikud</t>
  </si>
  <si>
    <t>Leibkonnaliikme keskmine sissetulek kuus (Pärnumaa)</t>
  </si>
  <si>
    <t>FINANTSKOHUSTUSTE KATMINE (INTRESSID)</t>
  </si>
  <si>
    <t>KUMULATIIVNE RAHAVOOG AL 2025</t>
  </si>
  <si>
    <t>FINANTSKOHUSTUSTE KATMINE (PÕHIOSAMAKSED)</t>
  </si>
  <si>
    <t>VEEMAJANDUSE RAHAVOOGUDE PROGNOOS ALATES 2025.A</t>
  </si>
  <si>
    <t>RAHAVOOG PROGNOOSAASTATE LÕIKES</t>
  </si>
  <si>
    <t>MAKO AS VEEMAJANDUSE FINANTSPROGNOOS 2025-2037</t>
  </si>
  <si>
    <t>LISA 5. Veemajanduse tulude, kulude, teenusekulukuse ja rahavoo analüüs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</si>
</sst>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0" fillId="2" borderId="0" xfId="0" applyFill="1"/>
    <xf numFmtId="1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4" fillId="2" borderId="0" xfId="0" applyFont="1" applyFill="1"/>
    <xf numFmtId="0" fontId="7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1" fillId="2" borderId="1" xfId="0" applyFont="1" applyFill="1" applyBorder="1"/>
    <xf numFmtId="165" fontId="11" fillId="2" borderId="1" xfId="1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0" fillId="0" borderId="0" xfId="0" applyNumberFormat="1"/>
    <xf numFmtId="0" fontId="13" fillId="2" borderId="0" xfId="0" applyFont="1" applyFill="1"/>
    <xf numFmtId="164" fontId="4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0" fontId="15" fillId="2" borderId="1" xfId="0" applyFont="1" applyFill="1" applyBorder="1"/>
    <xf numFmtId="0" fontId="7" fillId="2" borderId="1" xfId="0" applyFont="1" applyFill="1" applyBorder="1"/>
    <xf numFmtId="0" fontId="16" fillId="2" borderId="1" xfId="0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65" fontId="7" fillId="2" borderId="1" xfId="5" applyNumberFormat="1" applyFont="1" applyFill="1" applyBorder="1" applyAlignment="1">
      <alignment horizontal="center"/>
    </xf>
    <xf numFmtId="1" fontId="13" fillId="2" borderId="0" xfId="0" applyNumberFormat="1" applyFont="1" applyFill="1"/>
    <xf numFmtId="0" fontId="8" fillId="2" borderId="1" xfId="0" applyFont="1" applyFill="1" applyBorder="1"/>
    <xf numFmtId="1" fontId="8" fillId="2" borderId="1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4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8" fillId="2" borderId="2" xfId="0" applyFont="1" applyFill="1" applyBorder="1"/>
    <xf numFmtId="3" fontId="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0" xfId="0" applyFont="1"/>
  </cellXfs>
  <cellStyles count="7">
    <cellStyle name="Normaallaad 2" xfId="5" xr:uid="{A4D3E4B3-2970-43DE-B274-E5FAB0131943}"/>
    <cellStyle name="Normaallaad 4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  <cellStyle name="Protsent 2" xfId="6" xr:uid="{56187100-B403-47A7-B3B7-3149303A88C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5423-49AE-4E53-ABC3-0B14BA8FF529}">
  <dimension ref="A1:R123"/>
  <sheetViews>
    <sheetView tabSelected="1" zoomScale="91" zoomScaleNormal="91" workbookViewId="0">
      <selection activeCell="A9" sqref="A9"/>
    </sheetView>
  </sheetViews>
  <sheetFormatPr defaultRowHeight="14.5" x14ac:dyDescent="0.35"/>
  <cols>
    <col min="1" max="1" width="66" customWidth="1"/>
    <col min="2" max="2" width="11.36328125" customWidth="1"/>
    <col min="3" max="3" width="11.1796875" customWidth="1"/>
    <col min="4" max="4" width="11" customWidth="1"/>
    <col min="5" max="5" width="11.54296875" customWidth="1"/>
    <col min="6" max="6" width="10.6328125" customWidth="1"/>
    <col min="7" max="7" width="11.90625" customWidth="1"/>
    <col min="8" max="8" width="11.6328125" customWidth="1"/>
    <col min="9" max="9" width="11.1796875" customWidth="1"/>
    <col min="10" max="10" width="12.1796875" customWidth="1"/>
    <col min="11" max="11" width="12.54296875" customWidth="1"/>
    <col min="12" max="12" width="12.6328125" customWidth="1"/>
    <col min="13" max="13" width="12.36328125" customWidth="1"/>
    <col min="14" max="14" width="13" customWidth="1"/>
    <col min="15" max="15" width="12.6328125" customWidth="1"/>
    <col min="16" max="16" width="13" customWidth="1"/>
    <col min="17" max="17" width="11.1796875" customWidth="1"/>
    <col min="18" max="18" width="10.1796875" customWidth="1"/>
    <col min="19" max="19" width="11" customWidth="1"/>
  </cols>
  <sheetData>
    <row r="1" spans="1:18" x14ac:dyDescent="0.35">
      <c r="A1" s="48" t="s">
        <v>66</v>
      </c>
    </row>
    <row r="3" spans="1:18" x14ac:dyDescent="0.35">
      <c r="A3" s="30" t="s">
        <v>65</v>
      </c>
      <c r="B3" s="32">
        <v>2023</v>
      </c>
      <c r="C3" s="32">
        <f t="shared" ref="C3:P3" si="0">B3+1</f>
        <v>2024</v>
      </c>
      <c r="D3" s="32">
        <f t="shared" si="0"/>
        <v>2025</v>
      </c>
      <c r="E3" s="32">
        <f t="shared" si="0"/>
        <v>2026</v>
      </c>
      <c r="F3" s="32">
        <f t="shared" si="0"/>
        <v>2027</v>
      </c>
      <c r="G3" s="32">
        <f t="shared" si="0"/>
        <v>2028</v>
      </c>
      <c r="H3" s="32">
        <f t="shared" si="0"/>
        <v>2029</v>
      </c>
      <c r="I3" s="32">
        <f t="shared" si="0"/>
        <v>2030</v>
      </c>
      <c r="J3" s="32">
        <f t="shared" si="0"/>
        <v>2031</v>
      </c>
      <c r="K3" s="32">
        <f t="shared" si="0"/>
        <v>2032</v>
      </c>
      <c r="L3" s="32">
        <f t="shared" si="0"/>
        <v>2033</v>
      </c>
      <c r="M3" s="32">
        <f t="shared" si="0"/>
        <v>2034</v>
      </c>
      <c r="N3" s="32">
        <f t="shared" si="0"/>
        <v>2035</v>
      </c>
      <c r="O3" s="32">
        <f t="shared" si="0"/>
        <v>2036</v>
      </c>
      <c r="P3" s="32">
        <f t="shared" si="0"/>
        <v>2037</v>
      </c>
    </row>
    <row r="4" spans="1:18" ht="13.75" customHeight="1" x14ac:dyDescent="0.35">
      <c r="A4" s="19" t="s">
        <v>0</v>
      </c>
      <c r="B4" s="36">
        <v>9.5600000000000004E-2</v>
      </c>
      <c r="C4" s="36">
        <v>3.7999999999999999E-2</v>
      </c>
      <c r="D4" s="21">
        <v>0.05</v>
      </c>
      <c r="E4" s="21">
        <v>3.2000000000000001E-2</v>
      </c>
      <c r="F4" s="21">
        <v>2.3E-2</v>
      </c>
      <c r="G4" s="21">
        <v>2.1999999999999999E-2</v>
      </c>
      <c r="H4" s="21">
        <v>0.02</v>
      </c>
      <c r="I4" s="21">
        <v>0.02</v>
      </c>
      <c r="J4" s="21">
        <v>0.02</v>
      </c>
      <c r="K4" s="21">
        <v>0.02</v>
      </c>
      <c r="L4" s="21">
        <v>0.02</v>
      </c>
      <c r="M4" s="21">
        <v>0.02</v>
      </c>
      <c r="N4" s="21">
        <v>0.02</v>
      </c>
      <c r="O4" s="21">
        <v>0.02</v>
      </c>
      <c r="P4" s="21">
        <v>0.02</v>
      </c>
    </row>
    <row r="5" spans="1:18" ht="13.25" hidden="1" customHeight="1" x14ac:dyDescent="0.35">
      <c r="A5" s="19" t="s">
        <v>2</v>
      </c>
      <c r="B5" s="20">
        <f t="shared" ref="B5:P5" si="1">B4</f>
        <v>9.5600000000000004E-2</v>
      </c>
      <c r="C5" s="20">
        <f t="shared" si="1"/>
        <v>3.7999999999999999E-2</v>
      </c>
      <c r="D5" s="20">
        <f t="shared" si="1"/>
        <v>0.05</v>
      </c>
      <c r="E5" s="20">
        <f t="shared" si="1"/>
        <v>3.2000000000000001E-2</v>
      </c>
      <c r="F5" s="20">
        <f t="shared" si="1"/>
        <v>2.3E-2</v>
      </c>
      <c r="G5" s="20">
        <f t="shared" si="1"/>
        <v>2.1999999999999999E-2</v>
      </c>
      <c r="H5" s="20">
        <f t="shared" si="1"/>
        <v>0.02</v>
      </c>
      <c r="I5" s="20">
        <f t="shared" si="1"/>
        <v>0.02</v>
      </c>
      <c r="J5" s="20">
        <f t="shared" si="1"/>
        <v>0.02</v>
      </c>
      <c r="K5" s="20">
        <f t="shared" si="1"/>
        <v>0.02</v>
      </c>
      <c r="L5" s="20">
        <f t="shared" si="1"/>
        <v>0.02</v>
      </c>
      <c r="M5" s="20">
        <f t="shared" si="1"/>
        <v>0.02</v>
      </c>
      <c r="N5" s="20">
        <f t="shared" si="1"/>
        <v>0.02</v>
      </c>
      <c r="O5" s="20">
        <f t="shared" si="1"/>
        <v>0.02</v>
      </c>
      <c r="P5" s="20">
        <f t="shared" si="1"/>
        <v>0.02</v>
      </c>
    </row>
    <row r="6" spans="1:18" ht="6.65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8" ht="3.65" customHeight="1" x14ac:dyDescent="0.35">
      <c r="A7" s="3"/>
      <c r="B7" s="5"/>
      <c r="C7" s="5"/>
      <c r="D7" s="5"/>
      <c r="E7" s="5"/>
      <c r="F7" s="5"/>
      <c r="G7" s="5"/>
      <c r="H7" s="5"/>
      <c r="I7" s="5"/>
      <c r="J7" s="5"/>
      <c r="K7" s="5"/>
      <c r="L7" s="4"/>
      <c r="M7" s="7"/>
      <c r="N7" s="7"/>
      <c r="O7" s="7"/>
    </row>
    <row r="8" spans="1:18" x14ac:dyDescent="0.35">
      <c r="A8" s="31" t="s">
        <v>13</v>
      </c>
      <c r="B8" s="27">
        <f>B16/B13</f>
        <v>0.27442323304819527</v>
      </c>
      <c r="C8" s="27">
        <f>C16/C13</f>
        <v>0.20883364277500957</v>
      </c>
      <c r="D8" s="27">
        <f>C8</f>
        <v>0.20883364277500957</v>
      </c>
      <c r="E8" s="27">
        <f t="shared" ref="E8:P8" si="2">D8*(1+E4)</f>
        <v>0.21551631934380988</v>
      </c>
      <c r="F8" s="27">
        <f t="shared" si="2"/>
        <v>0.22047319468871748</v>
      </c>
      <c r="G8" s="27">
        <f t="shared" si="2"/>
        <v>0.22532360497186926</v>
      </c>
      <c r="H8" s="27">
        <f t="shared" si="2"/>
        <v>0.22983007707130665</v>
      </c>
      <c r="I8" s="27">
        <f t="shared" si="2"/>
        <v>0.23442667861273278</v>
      </c>
      <c r="J8" s="27">
        <f t="shared" si="2"/>
        <v>0.23911521218498744</v>
      </c>
      <c r="K8" s="27">
        <f t="shared" si="2"/>
        <v>0.24389751642868718</v>
      </c>
      <c r="L8" s="27">
        <f t="shared" si="2"/>
        <v>0.24877546675726092</v>
      </c>
      <c r="M8" s="27">
        <f t="shared" si="2"/>
        <v>0.25375097609240616</v>
      </c>
      <c r="N8" s="27">
        <f t="shared" si="2"/>
        <v>0.25882599561425429</v>
      </c>
      <c r="O8" s="27">
        <f t="shared" si="2"/>
        <v>0.26400251552653936</v>
      </c>
      <c r="P8" s="27">
        <f t="shared" si="2"/>
        <v>0.26928256583707016</v>
      </c>
    </row>
    <row r="9" spans="1:18" x14ac:dyDescent="0.35">
      <c r="A9" s="31" t="s">
        <v>12</v>
      </c>
      <c r="B9" s="27">
        <f>B17/B14</f>
        <v>0.22360525263567377</v>
      </c>
      <c r="C9" s="27">
        <f>C17/C14</f>
        <v>0.17670200185060803</v>
      </c>
      <c r="D9" s="27">
        <f>C9</f>
        <v>0.17670200185060803</v>
      </c>
      <c r="E9" s="27">
        <f t="shared" ref="E9:P9" si="3">D9*(1+E4)</f>
        <v>0.18235646590982749</v>
      </c>
      <c r="F9" s="27">
        <f t="shared" si="3"/>
        <v>0.18655066462575351</v>
      </c>
      <c r="G9" s="27">
        <f t="shared" si="3"/>
        <v>0.19065477924752008</v>
      </c>
      <c r="H9" s="27">
        <f t="shared" si="3"/>
        <v>0.19446787483247049</v>
      </c>
      <c r="I9" s="27">
        <f t="shared" si="3"/>
        <v>0.19835723232911992</v>
      </c>
      <c r="J9" s="27">
        <f t="shared" si="3"/>
        <v>0.20232437697570232</v>
      </c>
      <c r="K9" s="27">
        <f t="shared" si="3"/>
        <v>0.20637086451521638</v>
      </c>
      <c r="L9" s="27">
        <f t="shared" si="3"/>
        <v>0.21049828180552071</v>
      </c>
      <c r="M9" s="27">
        <f t="shared" si="3"/>
        <v>0.21470824744163114</v>
      </c>
      <c r="N9" s="27">
        <f t="shared" si="3"/>
        <v>0.21900241239046375</v>
      </c>
      <c r="O9" s="27">
        <f t="shared" si="3"/>
        <v>0.22338246063827302</v>
      </c>
      <c r="P9" s="27">
        <f t="shared" si="3"/>
        <v>0.22785010985103848</v>
      </c>
    </row>
    <row r="10" spans="1:18" x14ac:dyDescent="0.35">
      <c r="A10" s="1" t="s">
        <v>1</v>
      </c>
      <c r="B10" s="27">
        <f>B18/B13</f>
        <v>8.5000000000000006E-2</v>
      </c>
      <c r="C10" s="27">
        <f>C18/C13</f>
        <v>8.6999999999999994E-2</v>
      </c>
      <c r="D10" s="27">
        <f t="shared" ref="D10" si="4">C10*(1+D4)</f>
        <v>9.1350000000000001E-2</v>
      </c>
      <c r="E10" s="2">
        <f t="shared" ref="E10" si="5">D10*(1+E4)</f>
        <v>9.4273200000000001E-2</v>
      </c>
      <c r="F10" s="2">
        <f t="shared" ref="F10" si="6">E10*(1+F4)</f>
        <v>9.6441483599999989E-2</v>
      </c>
      <c r="G10" s="2">
        <f t="shared" ref="G10" si="7">F10*(1+G4)</f>
        <v>9.8563196239199985E-2</v>
      </c>
      <c r="H10" s="2">
        <f t="shared" ref="H10" si="8">G10*(1+H4)</f>
        <v>0.10053446016398399</v>
      </c>
      <c r="I10" s="2">
        <f t="shared" ref="I10:P10" si="9">H10*(1+I4)</f>
        <v>0.10254514936726367</v>
      </c>
      <c r="J10" s="2">
        <f t="shared" si="9"/>
        <v>0.10459605235460893</v>
      </c>
      <c r="K10" s="2">
        <f t="shared" si="9"/>
        <v>0.10668797340170111</v>
      </c>
      <c r="L10" s="2">
        <f t="shared" si="9"/>
        <v>0.10882173286973514</v>
      </c>
      <c r="M10" s="2">
        <f t="shared" si="9"/>
        <v>0.11099816752712983</v>
      </c>
      <c r="N10" s="2">
        <f t="shared" si="9"/>
        <v>0.11321813087767243</v>
      </c>
      <c r="O10" s="2">
        <f t="shared" si="9"/>
        <v>0.11548249349522588</v>
      </c>
      <c r="P10" s="2">
        <f t="shared" si="9"/>
        <v>0.1177921433651304</v>
      </c>
    </row>
    <row r="11" spans="1:18" x14ac:dyDescent="0.35">
      <c r="A11" s="1" t="s">
        <v>7</v>
      </c>
      <c r="B11" s="27">
        <f>B19/B14</f>
        <v>2.3410889358328541E-2</v>
      </c>
      <c r="C11" s="27">
        <f>C19/C14</f>
        <v>2.5523712676664954E-2</v>
      </c>
      <c r="D11" s="27">
        <f t="shared" ref="D11:E11" si="10">C11*1.106</f>
        <v>2.8229226220391441E-2</v>
      </c>
      <c r="E11" s="2">
        <f t="shared" si="10"/>
        <v>3.1221524199752937E-2</v>
      </c>
      <c r="F11" s="2">
        <f>E11*1.106</f>
        <v>3.453100576492675E-2</v>
      </c>
      <c r="G11" s="2">
        <f t="shared" ref="G11:P11" si="11">F11*(1+G4)</f>
        <v>3.5290687891755143E-2</v>
      </c>
      <c r="H11" s="2">
        <f t="shared" si="11"/>
        <v>3.599650164959025E-2</v>
      </c>
      <c r="I11" s="2">
        <f t="shared" si="11"/>
        <v>3.6716431682582054E-2</v>
      </c>
      <c r="J11" s="2">
        <f t="shared" si="11"/>
        <v>3.7450760316233699E-2</v>
      </c>
      <c r="K11" s="2">
        <f t="shared" si="11"/>
        <v>3.819977552255837E-2</v>
      </c>
      <c r="L11" s="2">
        <f t="shared" si="11"/>
        <v>3.8963771033009541E-2</v>
      </c>
      <c r="M11" s="2">
        <f t="shared" si="11"/>
        <v>3.9743046453669731E-2</v>
      </c>
      <c r="N11" s="2">
        <f t="shared" si="11"/>
        <v>4.0537907382743127E-2</v>
      </c>
      <c r="O11" s="2">
        <f t="shared" si="11"/>
        <v>4.1348665530397989E-2</v>
      </c>
      <c r="P11" s="2">
        <f t="shared" si="11"/>
        <v>4.2175638841005947E-2</v>
      </c>
    </row>
    <row r="12" spans="1:18" x14ac:dyDescent="0.35">
      <c r="A12" s="44" t="s">
        <v>3</v>
      </c>
      <c r="B12" s="24"/>
      <c r="C12" s="12"/>
      <c r="D12" s="12"/>
      <c r="E12" s="4"/>
      <c r="F12" s="4"/>
      <c r="G12" s="4"/>
      <c r="H12" s="4"/>
      <c r="I12" s="4"/>
      <c r="J12" s="4"/>
      <c r="K12" s="4"/>
      <c r="L12" s="4"/>
      <c r="M12" s="7"/>
      <c r="N12" s="7"/>
      <c r="O12" s="7"/>
      <c r="R12" s="23"/>
    </row>
    <row r="13" spans="1:18" x14ac:dyDescent="0.35">
      <c r="A13" s="31" t="s">
        <v>40</v>
      </c>
      <c r="B13" s="8">
        <v>239650</v>
      </c>
      <c r="C13" s="8">
        <v>260900</v>
      </c>
      <c r="D13" s="8">
        <v>254935.97532050774</v>
      </c>
      <c r="E13" s="8">
        <v>248919.30469243368</v>
      </c>
      <c r="F13" s="8">
        <v>243118.48895704214</v>
      </c>
      <c r="G13" s="8">
        <v>238422.96835340722</v>
      </c>
      <c r="H13" s="8">
        <v>233029.54169615378</v>
      </c>
      <c r="I13" s="8">
        <v>227881.20011910427</v>
      </c>
      <c r="J13" s="8">
        <v>222962.22172691158</v>
      </c>
      <c r="K13" s="8">
        <v>218239.85381054465</v>
      </c>
      <c r="L13" s="8">
        <v>213689.45466501924</v>
      </c>
      <c r="M13" s="8">
        <v>209317.16663908001</v>
      </c>
      <c r="N13" s="8">
        <v>205108.64559920531</v>
      </c>
      <c r="O13" s="8">
        <v>201064.57985723691</v>
      </c>
      <c r="P13" s="8">
        <v>197149.46727253112</v>
      </c>
      <c r="Q13" s="23"/>
      <c r="R13" s="23"/>
    </row>
    <row r="14" spans="1:18" x14ac:dyDescent="0.35">
      <c r="A14" s="31" t="s">
        <v>26</v>
      </c>
      <c r="B14" s="8">
        <v>406158</v>
      </c>
      <c r="C14" s="8">
        <v>425806</v>
      </c>
      <c r="D14" s="8">
        <v>402883.35212782584</v>
      </c>
      <c r="E14" s="8">
        <v>381745.96761344466</v>
      </c>
      <c r="F14" s="8">
        <v>362533.89528485574</v>
      </c>
      <c r="G14" s="8">
        <v>346361.67866932205</v>
      </c>
      <c r="H14" s="8">
        <v>330262.43032020784</v>
      </c>
      <c r="I14" s="8">
        <v>315534.57391497603</v>
      </c>
      <c r="J14" s="8">
        <v>302014.91011503816</v>
      </c>
      <c r="K14" s="8">
        <v>289541.21516936703</v>
      </c>
      <c r="L14" s="8">
        <v>277982.06534070481</v>
      </c>
      <c r="M14" s="8">
        <v>267260.45855539147</v>
      </c>
      <c r="N14" s="8">
        <v>257285.22064330804</v>
      </c>
      <c r="O14" s="8">
        <v>247993.9256541435</v>
      </c>
      <c r="P14" s="8">
        <v>239289.36092715539</v>
      </c>
    </row>
    <row r="15" spans="1:18" x14ac:dyDescent="0.35">
      <c r="A15" s="3" t="s">
        <v>4</v>
      </c>
      <c r="B15" s="37"/>
      <c r="C15" s="12"/>
      <c r="D15" s="12"/>
      <c r="E15" s="4"/>
      <c r="F15" s="4"/>
      <c r="G15" s="4"/>
      <c r="H15" s="4"/>
      <c r="I15" s="4"/>
      <c r="J15" s="4"/>
      <c r="K15" s="4"/>
      <c r="L15" s="4"/>
      <c r="M15" s="7"/>
      <c r="N15" s="7"/>
      <c r="O15" s="7"/>
    </row>
    <row r="16" spans="1:18" x14ac:dyDescent="0.35">
      <c r="A16" s="31" t="s">
        <v>13</v>
      </c>
      <c r="B16" s="8">
        <f>0.42*156584.59</f>
        <v>65765.527799999996</v>
      </c>
      <c r="C16" s="8">
        <f>0.42*129725.47</f>
        <v>54484.697399999997</v>
      </c>
      <c r="D16" s="8">
        <f t="shared" ref="D16" si="12">D8*D13</f>
        <v>53239.20840058157</v>
      </c>
      <c r="E16" s="8">
        <f t="shared" ref="E16:N16" si="13">E8*E13</f>
        <v>53646.172360933648</v>
      </c>
      <c r="F16" s="8">
        <f t="shared" si="13"/>
        <v>53601.109948252764</v>
      </c>
      <c r="G16" s="8">
        <f t="shared" si="13"/>
        <v>53722.322737483613</v>
      </c>
      <c r="H16" s="8">
        <f t="shared" si="13"/>
        <v>53557.197527918288</v>
      </c>
      <c r="I16" s="8">
        <f t="shared" si="13"/>
        <v>53421.432862205096</v>
      </c>
      <c r="J16" s="8">
        <f t="shared" si="13"/>
        <v>53313.65895746668</v>
      </c>
      <c r="K16" s="8">
        <f t="shared" si="13"/>
        <v>53228.1583301516</v>
      </c>
      <c r="L16" s="8">
        <f t="shared" si="13"/>
        <v>53160.693825394708</v>
      </c>
      <c r="M16" s="8">
        <f t="shared" si="13"/>
        <v>53114.435347563383</v>
      </c>
      <c r="N16" s="8">
        <f t="shared" si="13"/>
        <v>53087.449406305554</v>
      </c>
      <c r="O16" s="8">
        <f t="shared" ref="O16" si="14">O8*O13</f>
        <v>53081.554865597303</v>
      </c>
      <c r="P16" s="8">
        <f t="shared" ref="P16" si="15">P8*P13</f>
        <v>53088.914400558671</v>
      </c>
    </row>
    <row r="17" spans="1:18" x14ac:dyDescent="0.35">
      <c r="A17" s="31" t="s">
        <v>12</v>
      </c>
      <c r="B17" s="8">
        <f>0.58*156584.59</f>
        <v>90819.062199999986</v>
      </c>
      <c r="C17" s="8">
        <f>0.58*129725.47</f>
        <v>75240.772599999997</v>
      </c>
      <c r="D17" s="8">
        <f t="shared" ref="D17" si="16">D9*D14</f>
        <v>71190.294833270251</v>
      </c>
      <c r="E17" s="8">
        <f t="shared" ref="E17:N17" si="17">E9*E14</f>
        <v>69613.845529315236</v>
      </c>
      <c r="F17" s="8">
        <f t="shared" si="17"/>
        <v>67630.939114753171</v>
      </c>
      <c r="G17" s="8">
        <f t="shared" si="17"/>
        <v>66035.509386500082</v>
      </c>
      <c r="H17" s="8">
        <f t="shared" si="17"/>
        <v>64225.432961377686</v>
      </c>
      <c r="I17" s="8">
        <f t="shared" si="17"/>
        <v>62588.564785922761</v>
      </c>
      <c r="J17" s="8">
        <f t="shared" si="17"/>
        <v>61104.978526397834</v>
      </c>
      <c r="K17" s="8">
        <f t="shared" si="17"/>
        <v>59752.870887288562</v>
      </c>
      <c r="L17" s="8">
        <f t="shared" si="17"/>
        <v>58514.747126968352</v>
      </c>
      <c r="M17" s="8">
        <f t="shared" si="17"/>
        <v>57383.024666874793</v>
      </c>
      <c r="N17" s="8">
        <f t="shared" si="17"/>
        <v>56346.083993297209</v>
      </c>
      <c r="O17" s="8">
        <f t="shared" ref="O17" si="18">O9*O14</f>
        <v>55397.49333596752</v>
      </c>
      <c r="P17" s="8">
        <f t="shared" ref="P17" si="19">P9*P14</f>
        <v>54522.107173437151</v>
      </c>
      <c r="R17" s="15"/>
    </row>
    <row r="18" spans="1:18" x14ac:dyDescent="0.35">
      <c r="A18" s="1" t="s">
        <v>1</v>
      </c>
      <c r="B18" s="8">
        <v>20370.25</v>
      </c>
      <c r="C18" s="8">
        <v>22698.3</v>
      </c>
      <c r="D18" s="8">
        <f t="shared" ref="D18:N18" si="20">D13*D10</f>
        <v>23288.401345528382</v>
      </c>
      <c r="E18" s="14">
        <f t="shared" si="20"/>
        <v>23466.419395130739</v>
      </c>
      <c r="F18" s="14">
        <f t="shared" si="20"/>
        <v>23446.707765607356</v>
      </c>
      <c r="G18" s="14">
        <f t="shared" si="20"/>
        <v>23499.729817749445</v>
      </c>
      <c r="H18" s="14">
        <f t="shared" si="20"/>
        <v>23427.499176683417</v>
      </c>
      <c r="I18" s="14">
        <f t="shared" si="20"/>
        <v>23368.11170420485</v>
      </c>
      <c r="J18" s="14">
        <f t="shared" si="20"/>
        <v>23320.96821684797</v>
      </c>
      <c r="K18" s="14">
        <f t="shared" si="20"/>
        <v>23283.567718530525</v>
      </c>
      <c r="L18" s="14">
        <f t="shared" si="20"/>
        <v>23254.056752636101</v>
      </c>
      <c r="M18" s="14">
        <f t="shared" si="20"/>
        <v>23233.821928908754</v>
      </c>
      <c r="N18" s="14">
        <f t="shared" si="20"/>
        <v>23222.01748159296</v>
      </c>
      <c r="O18" s="14">
        <f t="shared" ref="O18" si="21">O13*O10</f>
        <v>23219.439035483687</v>
      </c>
      <c r="P18" s="14">
        <f t="shared" ref="P18" si="22">P13*P10</f>
        <v>23222.658313325072</v>
      </c>
    </row>
    <row r="19" spans="1:18" x14ac:dyDescent="0.35">
      <c r="A19" s="1" t="s">
        <v>7</v>
      </c>
      <c r="B19" s="8">
        <v>9508.5200000000041</v>
      </c>
      <c r="C19" s="8">
        <v>10868.149999999998</v>
      </c>
      <c r="D19" s="8">
        <f t="shared" ref="D19:N19" si="23">D11*D14</f>
        <v>11373.085287646019</v>
      </c>
      <c r="E19" s="14">
        <f t="shared" si="23"/>
        <v>11918.690966001264</v>
      </c>
      <c r="F19" s="14">
        <f t="shared" si="23"/>
        <v>12518.660028062704</v>
      </c>
      <c r="G19" s="14">
        <f t="shared" si="23"/>
        <v>12223.341899583429</v>
      </c>
      <c r="H19" s="14">
        <f t="shared" si="23"/>
        <v>11888.292117819046</v>
      </c>
      <c r="I19" s="14">
        <f t="shared" si="23"/>
        <v>11585.303626641855</v>
      </c>
      <c r="J19" s="14">
        <f t="shared" si="23"/>
        <v>11310.688010647158</v>
      </c>
      <c r="K19" s="14">
        <f t="shared" si="23"/>
        <v>11060.409423998593</v>
      </c>
      <c r="L19" s="14">
        <f t="shared" si="23"/>
        <v>10831.229545218319</v>
      </c>
      <c r="M19" s="14">
        <f t="shared" si="23"/>
        <v>10621.744819595997</v>
      </c>
      <c r="N19" s="14">
        <f t="shared" si="23"/>
        <v>10429.804445387052</v>
      </c>
      <c r="O19" s="14">
        <f t="shared" ref="O19" si="24">O11*O14</f>
        <v>10254.217885443564</v>
      </c>
      <c r="P19" s="14">
        <f t="shared" ref="P19" si="25">P11*P14</f>
        <v>10092.181664958825</v>
      </c>
    </row>
    <row r="20" spans="1:18" x14ac:dyDescent="0.35">
      <c r="A20" s="3" t="s">
        <v>5</v>
      </c>
      <c r="B20" s="2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7"/>
    </row>
    <row r="21" spans="1:18" x14ac:dyDescent="0.35">
      <c r="A21" s="1" t="s">
        <v>6</v>
      </c>
      <c r="B21" s="8">
        <v>159166.54999999999</v>
      </c>
      <c r="C21" s="14">
        <v>166541.78000000003</v>
      </c>
      <c r="D21" s="14">
        <f t="shared" ref="D21:P21" si="26">C21*(1+D5)</f>
        <v>174868.86900000004</v>
      </c>
      <c r="E21" s="14">
        <f t="shared" si="26"/>
        <v>180464.67280800003</v>
      </c>
      <c r="F21" s="14">
        <f t="shared" si="26"/>
        <v>184615.36028258401</v>
      </c>
      <c r="G21" s="14">
        <f t="shared" si="26"/>
        <v>188676.89820880085</v>
      </c>
      <c r="H21" s="14">
        <f t="shared" si="26"/>
        <v>192450.43617297686</v>
      </c>
      <c r="I21" s="14">
        <f t="shared" si="26"/>
        <v>196299.44489643638</v>
      </c>
      <c r="J21" s="14">
        <f t="shared" si="26"/>
        <v>200225.43379436512</v>
      </c>
      <c r="K21" s="14">
        <f t="shared" si="26"/>
        <v>204229.94247025243</v>
      </c>
      <c r="L21" s="14">
        <f t="shared" si="26"/>
        <v>208314.54131965747</v>
      </c>
      <c r="M21" s="14">
        <f t="shared" si="26"/>
        <v>212480.83214605061</v>
      </c>
      <c r="N21" s="14">
        <f>M21*(1+N5)</f>
        <v>216730.44878897164</v>
      </c>
      <c r="O21" s="14">
        <f>N21*(1+O5)</f>
        <v>221065.05776475108</v>
      </c>
      <c r="P21" s="14">
        <f t="shared" si="26"/>
        <v>225486.3589200461</v>
      </c>
    </row>
    <row r="22" spans="1:18" x14ac:dyDescent="0.35">
      <c r="A22" s="1" t="s">
        <v>29</v>
      </c>
      <c r="B22" s="8">
        <f>122327.12*0.42</f>
        <v>51377.390399999997</v>
      </c>
      <c r="C22" s="8">
        <f>152377.22*0.42</f>
        <v>63998.432399999998</v>
      </c>
      <c r="D22" s="14">
        <f t="shared" ref="D22:N22" si="27">C22*(1+D4)</f>
        <v>67198.354019999999</v>
      </c>
      <c r="E22" s="14">
        <f t="shared" si="27"/>
        <v>69348.701348639996</v>
      </c>
      <c r="F22" s="14">
        <f t="shared" si="27"/>
        <v>70943.721479658707</v>
      </c>
      <c r="G22" s="14">
        <f t="shared" si="27"/>
        <v>72504.483352211202</v>
      </c>
      <c r="H22" s="14">
        <f t="shared" si="27"/>
        <v>73954.573019255433</v>
      </c>
      <c r="I22" s="14">
        <f t="shared" si="27"/>
        <v>75433.664479640545</v>
      </c>
      <c r="J22" s="14">
        <f t="shared" si="27"/>
        <v>76942.33776923336</v>
      </c>
      <c r="K22" s="14">
        <f t="shared" si="27"/>
        <v>78481.184524618031</v>
      </c>
      <c r="L22" s="14">
        <f t="shared" si="27"/>
        <v>80050.808215110388</v>
      </c>
      <c r="M22" s="14">
        <f t="shared" si="27"/>
        <v>81651.824379412603</v>
      </c>
      <c r="N22" s="14">
        <f t="shared" si="27"/>
        <v>83284.860867000854</v>
      </c>
      <c r="O22" s="14">
        <f>N22*(1+O4)</f>
        <v>84950.558084340868</v>
      </c>
      <c r="P22" s="14">
        <f>O22*(1+P4)</f>
        <v>86649.569246027691</v>
      </c>
    </row>
    <row r="23" spans="1:18" x14ac:dyDescent="0.35">
      <c r="A23" s="1" t="s">
        <v>30</v>
      </c>
      <c r="B23" s="8">
        <f>122327.12*0.58</f>
        <v>70949.729599999991</v>
      </c>
      <c r="C23" s="8">
        <f>152377.22*0.58</f>
        <v>88378.787599999996</v>
      </c>
      <c r="D23" s="14">
        <f>C23*(1+D4)</f>
        <v>92797.726980000007</v>
      </c>
      <c r="E23" s="14">
        <f>D23*(1+E4)</f>
        <v>95767.254243360003</v>
      </c>
      <c r="F23" s="14">
        <f>E23*(1+F4)</f>
        <v>97969.901090957268</v>
      </c>
      <c r="G23" s="14">
        <f>F23*(1+G4)</f>
        <v>100125.23891495833</v>
      </c>
      <c r="H23" s="14">
        <f>G23*(1+H5)</f>
        <v>102127.74369325751</v>
      </c>
      <c r="I23" s="14">
        <f t="shared" ref="I23:P23" si="28">H23*(1+I4)</f>
        <v>104170.29856712266</v>
      </c>
      <c r="J23" s="14">
        <f t="shared" si="28"/>
        <v>106253.70453846511</v>
      </c>
      <c r="K23" s="14">
        <f t="shared" si="28"/>
        <v>108378.77862923442</v>
      </c>
      <c r="L23" s="14">
        <f t="shared" si="28"/>
        <v>110546.35420181912</v>
      </c>
      <c r="M23" s="14">
        <f t="shared" si="28"/>
        <v>112757.28128585551</v>
      </c>
      <c r="N23" s="14">
        <f>M23*(1+N4)</f>
        <v>115012.42691157262</v>
      </c>
      <c r="O23" s="14">
        <f>N23*(1+O4)</f>
        <v>117312.67544980407</v>
      </c>
      <c r="P23" s="14">
        <f t="shared" si="28"/>
        <v>119658.92895880016</v>
      </c>
    </row>
    <row r="24" spans="1:18" x14ac:dyDescent="0.35">
      <c r="A24" s="1" t="s">
        <v>50</v>
      </c>
      <c r="B24" s="8">
        <v>16681.22</v>
      </c>
      <c r="C24" s="14">
        <v>16722.539999999997</v>
      </c>
      <c r="D24" s="14">
        <f t="shared" ref="D24:P24" si="29">C24*(1+D4)</f>
        <v>17558.666999999998</v>
      </c>
      <c r="E24" s="14">
        <f t="shared" si="29"/>
        <v>18120.544343999998</v>
      </c>
      <c r="F24" s="14">
        <f t="shared" si="29"/>
        <v>18537.316863911998</v>
      </c>
      <c r="G24" s="14">
        <f t="shared" si="29"/>
        <v>18945.137834918063</v>
      </c>
      <c r="H24" s="14">
        <f t="shared" si="29"/>
        <v>19324.040591616424</v>
      </c>
      <c r="I24" s="14">
        <f t="shared" si="29"/>
        <v>19710.521403448751</v>
      </c>
      <c r="J24" s="14">
        <f t="shared" si="29"/>
        <v>20104.731831517725</v>
      </c>
      <c r="K24" s="14">
        <f t="shared" si="29"/>
        <v>20506.82646814808</v>
      </c>
      <c r="L24" s="14">
        <f t="shared" si="29"/>
        <v>20916.96299751104</v>
      </c>
      <c r="M24" s="14">
        <f t="shared" si="29"/>
        <v>21335.302257461262</v>
      </c>
      <c r="N24" s="14">
        <f t="shared" si="29"/>
        <v>21762.008302610488</v>
      </c>
      <c r="O24" s="14">
        <f t="shared" si="29"/>
        <v>22197.248468662699</v>
      </c>
      <c r="P24" s="14">
        <f t="shared" si="29"/>
        <v>22641.193438035953</v>
      </c>
    </row>
    <row r="25" spans="1:18" x14ac:dyDescent="0.35">
      <c r="A25" s="1" t="s">
        <v>28</v>
      </c>
      <c r="B25" s="8">
        <v>14056.88</v>
      </c>
      <c r="C25" s="14">
        <v>18017</v>
      </c>
      <c r="D25" s="14">
        <f t="shared" ref="D25:P25" si="30">C25*(1+D4)</f>
        <v>18917.850000000002</v>
      </c>
      <c r="E25" s="14">
        <f t="shared" si="30"/>
        <v>19523.221200000004</v>
      </c>
      <c r="F25" s="14">
        <f t="shared" si="30"/>
        <v>19972.255287600001</v>
      </c>
      <c r="G25" s="14">
        <f t="shared" si="30"/>
        <v>20411.644903927201</v>
      </c>
      <c r="H25" s="14">
        <f t="shared" si="30"/>
        <v>20819.877802005747</v>
      </c>
      <c r="I25" s="14">
        <f t="shared" si="30"/>
        <v>21236.275358045863</v>
      </c>
      <c r="J25" s="14">
        <f t="shared" si="30"/>
        <v>21661.000865206781</v>
      </c>
      <c r="K25" s="14">
        <f t="shared" si="30"/>
        <v>22094.220882510916</v>
      </c>
      <c r="L25" s="14">
        <f t="shared" si="30"/>
        <v>22536.105300161133</v>
      </c>
      <c r="M25" s="14">
        <f t="shared" si="30"/>
        <v>22986.827406164357</v>
      </c>
      <c r="N25" s="14">
        <f t="shared" si="30"/>
        <v>23446.563954287645</v>
      </c>
      <c r="O25" s="14">
        <f t="shared" si="30"/>
        <v>23915.4952333734</v>
      </c>
      <c r="P25" s="14">
        <f t="shared" si="30"/>
        <v>24393.805138040869</v>
      </c>
    </row>
    <row r="26" spans="1:18" x14ac:dyDescent="0.35">
      <c r="A26" s="31" t="s">
        <v>14</v>
      </c>
      <c r="B26" s="8">
        <v>3516</v>
      </c>
      <c r="C26" s="8">
        <v>8384</v>
      </c>
      <c r="D26" s="8">
        <f t="shared" ref="D26:P26" si="31">C26*(1+D4)</f>
        <v>8803.2000000000007</v>
      </c>
      <c r="E26" s="8">
        <f t="shared" si="31"/>
        <v>9084.9024000000009</v>
      </c>
      <c r="F26" s="8">
        <f t="shared" si="31"/>
        <v>9293.8551552000008</v>
      </c>
      <c r="G26" s="8">
        <f t="shared" si="31"/>
        <v>9498.3199686144017</v>
      </c>
      <c r="H26" s="8">
        <f t="shared" si="31"/>
        <v>9688.2863679866896</v>
      </c>
      <c r="I26" s="8">
        <f t="shared" si="31"/>
        <v>9882.0520953464238</v>
      </c>
      <c r="J26" s="8">
        <f t="shared" si="31"/>
        <v>10079.693137253353</v>
      </c>
      <c r="K26" s="8">
        <f t="shared" si="31"/>
        <v>10281.28699999842</v>
      </c>
      <c r="L26" s="8">
        <f t="shared" si="31"/>
        <v>10486.912739998388</v>
      </c>
      <c r="M26" s="8">
        <f t="shared" si="31"/>
        <v>10696.650994798356</v>
      </c>
      <c r="N26" s="8">
        <f t="shared" si="31"/>
        <v>10910.584014694323</v>
      </c>
      <c r="O26" s="8">
        <f t="shared" si="31"/>
        <v>11128.79569498821</v>
      </c>
      <c r="P26" s="8">
        <f t="shared" si="31"/>
        <v>11351.371608887974</v>
      </c>
    </row>
    <row r="27" spans="1:18" ht="8.25" customHeight="1" x14ac:dyDescent="0.35">
      <c r="A27" s="6"/>
      <c r="B27" s="24"/>
      <c r="C27" s="4"/>
      <c r="D27" s="4"/>
      <c r="E27" s="4"/>
      <c r="F27" s="4"/>
      <c r="G27" s="4"/>
      <c r="H27" s="4"/>
      <c r="I27" s="4"/>
      <c r="J27" s="4"/>
      <c r="K27" s="4"/>
      <c r="L27" s="4"/>
      <c r="M27" s="7"/>
      <c r="N27" s="7"/>
      <c r="O27" s="7"/>
      <c r="P27" s="7"/>
    </row>
    <row r="28" spans="1:18" x14ac:dyDescent="0.35">
      <c r="A28" s="38" t="s">
        <v>41</v>
      </c>
      <c r="B28" s="39">
        <f t="shared" ref="B28:P28" si="32">SUM(B16:B19)+SUM(B21:B26)</f>
        <v>502211.13</v>
      </c>
      <c r="C28" s="39">
        <f t="shared" si="32"/>
        <v>525334.46</v>
      </c>
      <c r="D28" s="39">
        <f t="shared" si="32"/>
        <v>539235.65686702635</v>
      </c>
      <c r="E28" s="39">
        <f t="shared" si="32"/>
        <v>550954.42459538102</v>
      </c>
      <c r="F28" s="39">
        <f t="shared" si="32"/>
        <v>558529.82701658795</v>
      </c>
      <c r="G28" s="39">
        <f t="shared" si="32"/>
        <v>565642.62702474662</v>
      </c>
      <c r="H28" s="39">
        <f t="shared" si="32"/>
        <v>571463.37943089707</v>
      </c>
      <c r="I28" s="39">
        <f t="shared" si="32"/>
        <v>577695.66977901524</v>
      </c>
      <c r="J28" s="39">
        <f t="shared" si="32"/>
        <v>584317.19564740104</v>
      </c>
      <c r="K28" s="39">
        <f t="shared" si="32"/>
        <v>591297.2463347317</v>
      </c>
      <c r="L28" s="39">
        <f t="shared" si="32"/>
        <v>598612.41202447494</v>
      </c>
      <c r="M28" s="39">
        <f t="shared" si="32"/>
        <v>606261.74523268559</v>
      </c>
      <c r="N28" s="39">
        <f t="shared" si="32"/>
        <v>614232.24816572038</v>
      </c>
      <c r="O28" s="39">
        <f t="shared" si="32"/>
        <v>622522.53581841243</v>
      </c>
      <c r="P28" s="39">
        <f t="shared" si="32"/>
        <v>631107.08886211843</v>
      </c>
      <c r="R28" s="15"/>
    </row>
    <row r="29" spans="1:18" x14ac:dyDescent="0.3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8" x14ac:dyDescent="0.35">
      <c r="A30" s="38" t="s">
        <v>31</v>
      </c>
      <c r="B30" s="8">
        <v>125663.91</v>
      </c>
      <c r="C30" s="8">
        <v>98592.2</v>
      </c>
      <c r="D30" s="8">
        <v>97141.034</v>
      </c>
      <c r="E30" s="8">
        <v>96626.802979999993</v>
      </c>
      <c r="F30" s="8">
        <v>96199.998890599993</v>
      </c>
      <c r="G30" s="8">
        <v>95857.998923881984</v>
      </c>
      <c r="H30" s="8">
        <v>95838.258956165519</v>
      </c>
      <c r="I30" s="8">
        <v>95898.311187480547</v>
      </c>
      <c r="J30" s="8">
        <v>96035.761851856136</v>
      </c>
      <c r="K30" s="8">
        <v>96512.288996300456</v>
      </c>
      <c r="L30" s="8">
        <v>97061.640326411434</v>
      </c>
      <c r="M30" s="8">
        <v>97681.631116619086</v>
      </c>
      <c r="N30" s="8">
        <v>98660.542183120502</v>
      </c>
      <c r="O30" s="8">
        <v>99705.917917626895</v>
      </c>
      <c r="P30" s="8">
        <v>100815.76438009809</v>
      </c>
    </row>
    <row r="31" spans="1:18" x14ac:dyDescent="0.35">
      <c r="A31" s="31" t="s">
        <v>33</v>
      </c>
      <c r="B31" s="8">
        <v>2256245</v>
      </c>
      <c r="C31" s="8">
        <v>2256245</v>
      </c>
      <c r="D31" s="8">
        <v>2289323.966</v>
      </c>
      <c r="E31" s="8">
        <v>2272697.1630199999</v>
      </c>
      <c r="F31" s="8">
        <v>2256569.1641293997</v>
      </c>
      <c r="G31" s="8">
        <v>2248925.0052055181</v>
      </c>
      <c r="H31" s="8">
        <v>2241510.1710493527</v>
      </c>
      <c r="I31" s="8">
        <v>2234317.7819178719</v>
      </c>
      <c r="J31" s="8">
        <v>2236141.1644603359</v>
      </c>
      <c r="K31" s="8">
        <v>2237909.8455265258</v>
      </c>
      <c r="L31" s="8">
        <v>2239625.46616073</v>
      </c>
      <c r="M31" s="8">
        <v>2250969.618175908</v>
      </c>
      <c r="N31" s="8">
        <v>2261973.4456306305</v>
      </c>
      <c r="O31" s="8">
        <v>2272647.1582617117</v>
      </c>
      <c r="P31" s="8">
        <v>2293648.6595138605</v>
      </c>
    </row>
    <row r="32" spans="1:18" x14ac:dyDescent="0.35">
      <c r="A32" s="31" t="s">
        <v>42</v>
      </c>
      <c r="B32" s="8">
        <f>(476.062+498.052+483.558)*1000/3*0.05</f>
        <v>24294.533333333336</v>
      </c>
      <c r="C32" s="8">
        <f>(498.052+483.558+B63/1000)*1000/3*0.05</f>
        <v>24702.902567733337</v>
      </c>
      <c r="D32" s="8">
        <f>(483.558+(B51+59)/1000+(C51+C53)/1000)*1000/3*0.05</f>
        <v>28802.81062749667</v>
      </c>
      <c r="E32" s="8">
        <f>(B51+B53+C51+C53+D51+D53)/3*0.05</f>
        <v>33329.482342789379</v>
      </c>
      <c r="F32" s="8">
        <f t="shared" ref="F32:P32" si="33">(C51+C53+D51+D53+E51+E53)/3*0.05</f>
        <v>38158.522875112387</v>
      </c>
      <c r="G32" s="8">
        <f t="shared" si="33"/>
        <v>38921.687250697985</v>
      </c>
      <c r="H32" s="8">
        <f t="shared" si="33"/>
        <v>39824.69864002843</v>
      </c>
      <c r="I32" s="8">
        <f t="shared" si="33"/>
        <v>40120.729637697506</v>
      </c>
      <c r="J32" s="8">
        <f t="shared" si="33"/>
        <v>40411.84867358765</v>
      </c>
      <c r="K32" s="8">
        <f t="shared" si="33"/>
        <v>40712.676826120936</v>
      </c>
      <c r="L32" s="8">
        <f t="shared" si="33"/>
        <v>41050.70594093667</v>
      </c>
      <c r="M32" s="8">
        <f t="shared" si="33"/>
        <v>41424.260250010397</v>
      </c>
      <c r="N32" s="8">
        <f t="shared" si="33"/>
        <v>41832.952089889135</v>
      </c>
      <c r="O32" s="8">
        <f t="shared" si="33"/>
        <v>42276.193799907174</v>
      </c>
      <c r="P32" s="8">
        <f t="shared" si="33"/>
        <v>42753.324877624364</v>
      </c>
    </row>
    <row r="33" spans="1:16" x14ac:dyDescent="0.35">
      <c r="A33" s="38" t="s">
        <v>32</v>
      </c>
      <c r="B33" s="39">
        <f>0.0628*(B31+B32)</f>
        <v>143217.88269333332</v>
      </c>
      <c r="C33" s="39">
        <f>0.0628*(C31+C32)</f>
        <v>143243.52828125365</v>
      </c>
      <c r="D33" s="39">
        <f>0.0628*(D31+D32)</f>
        <v>145578.36157220678</v>
      </c>
      <c r="E33" s="39">
        <f t="shared" ref="E33:O33" si="34">0.0628*E31</f>
        <v>142725.38183765596</v>
      </c>
      <c r="F33" s="39">
        <f t="shared" si="34"/>
        <v>141712.54350732628</v>
      </c>
      <c r="G33" s="39">
        <f t="shared" si="34"/>
        <v>141232.49032690653</v>
      </c>
      <c r="H33" s="39">
        <f t="shared" si="34"/>
        <v>140766.83874189935</v>
      </c>
      <c r="I33" s="39">
        <f t="shared" si="34"/>
        <v>140315.15670444234</v>
      </c>
      <c r="J33" s="39">
        <f t="shared" si="34"/>
        <v>140429.66512810907</v>
      </c>
      <c r="K33" s="39">
        <f t="shared" si="34"/>
        <v>140540.73829906579</v>
      </c>
      <c r="L33" s="39">
        <f t="shared" si="34"/>
        <v>140648.47927489382</v>
      </c>
      <c r="M33" s="39">
        <f t="shared" si="34"/>
        <v>141360.89202144701</v>
      </c>
      <c r="N33" s="39">
        <f t="shared" si="34"/>
        <v>142051.93238560358</v>
      </c>
      <c r="O33" s="39">
        <f t="shared" si="34"/>
        <v>142722.24153883549</v>
      </c>
      <c r="P33" s="39">
        <f t="shared" ref="P33" si="35">0.0628*P31</f>
        <v>144041.13581747044</v>
      </c>
    </row>
    <row r="34" spans="1:16" x14ac:dyDescent="0.35">
      <c r="A34" s="12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35">
      <c r="A35" s="38" t="s">
        <v>51</v>
      </c>
      <c r="B35" s="39">
        <f>B28+B30+B33</f>
        <v>771092.92269333336</v>
      </c>
      <c r="C35" s="39">
        <f>C28+C30+C33</f>
        <v>767170.18828125356</v>
      </c>
      <c r="D35" s="39">
        <f t="shared" ref="D35:O35" si="36">D28+D30+D33</f>
        <v>781955.05243923306</v>
      </c>
      <c r="E35" s="39">
        <f t="shared" si="36"/>
        <v>790306.60941303708</v>
      </c>
      <c r="F35" s="39">
        <f t="shared" si="36"/>
        <v>796442.36941451428</v>
      </c>
      <c r="G35" s="39">
        <f t="shared" si="36"/>
        <v>802733.1162755352</v>
      </c>
      <c r="H35" s="39">
        <f t="shared" si="36"/>
        <v>808068.47712896194</v>
      </c>
      <c r="I35" s="39">
        <f t="shared" si="36"/>
        <v>813909.13767093816</v>
      </c>
      <c r="J35" s="39">
        <f t="shared" si="36"/>
        <v>820782.62262736622</v>
      </c>
      <c r="K35" s="39">
        <f t="shared" si="36"/>
        <v>828350.27363009797</v>
      </c>
      <c r="L35" s="39">
        <f t="shared" si="36"/>
        <v>836322.53162578028</v>
      </c>
      <c r="M35" s="39">
        <f t="shared" si="36"/>
        <v>845304.26837075176</v>
      </c>
      <c r="N35" s="39">
        <f t="shared" si="36"/>
        <v>854944.72273444443</v>
      </c>
      <c r="O35" s="39">
        <f t="shared" si="36"/>
        <v>864950.6952748748</v>
      </c>
      <c r="P35" s="39">
        <f t="shared" ref="P35" si="37">P28+P30+P33</f>
        <v>875963.98905968689</v>
      </c>
    </row>
    <row r="36" spans="1:16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6" x14ac:dyDescent="0.35">
      <c r="A37" s="10" t="s">
        <v>39</v>
      </c>
      <c r="B37" s="17">
        <v>2023</v>
      </c>
      <c r="C37" s="17">
        <f t="shared" ref="C37:P37" si="38">B37+1</f>
        <v>2024</v>
      </c>
      <c r="D37" s="17">
        <f t="shared" si="38"/>
        <v>2025</v>
      </c>
      <c r="E37" s="17">
        <f t="shared" si="38"/>
        <v>2026</v>
      </c>
      <c r="F37" s="17">
        <f t="shared" si="38"/>
        <v>2027</v>
      </c>
      <c r="G37" s="17">
        <f t="shared" si="38"/>
        <v>2028</v>
      </c>
      <c r="H37" s="17">
        <f t="shared" si="38"/>
        <v>2029</v>
      </c>
      <c r="I37" s="17">
        <f t="shared" si="38"/>
        <v>2030</v>
      </c>
      <c r="J37" s="17">
        <f t="shared" si="38"/>
        <v>2031</v>
      </c>
      <c r="K37" s="17">
        <f t="shared" si="38"/>
        <v>2032</v>
      </c>
      <c r="L37" s="17">
        <f t="shared" si="38"/>
        <v>2033</v>
      </c>
      <c r="M37" s="17">
        <f t="shared" si="38"/>
        <v>2034</v>
      </c>
      <c r="N37" s="17">
        <f t="shared" si="38"/>
        <v>2035</v>
      </c>
      <c r="O37" s="17">
        <f t="shared" si="38"/>
        <v>2036</v>
      </c>
      <c r="P37" s="17">
        <f t="shared" si="38"/>
        <v>2037</v>
      </c>
    </row>
    <row r="38" spans="1:16" x14ac:dyDescent="0.35">
      <c r="A38" s="38" t="s">
        <v>8</v>
      </c>
      <c r="B38" s="39">
        <f t="shared" ref="B38:P38" si="39">SUM(B39:B40)</f>
        <v>171647</v>
      </c>
      <c r="C38" s="39">
        <f t="shared" si="39"/>
        <v>166662</v>
      </c>
      <c r="D38" s="8">
        <f t="shared" si="39"/>
        <v>166038.90175692015</v>
      </c>
      <c r="E38" s="8">
        <f t="shared" si="39"/>
        <v>165231.75670182746</v>
      </c>
      <c r="F38" s="8">
        <f t="shared" si="39"/>
        <v>164420.17678379465</v>
      </c>
      <c r="G38" s="8">
        <f t="shared" si="39"/>
        <v>164224.89986157822</v>
      </c>
      <c r="H38" s="8">
        <f t="shared" si="39"/>
        <v>163422.79586986313</v>
      </c>
      <c r="I38" s="8">
        <f t="shared" si="39"/>
        <v>162660.79707773373</v>
      </c>
      <c r="J38" s="8">
        <f t="shared" si="39"/>
        <v>161936.67541854648</v>
      </c>
      <c r="K38" s="8">
        <f t="shared" si="39"/>
        <v>161234.83442579574</v>
      </c>
      <c r="L38" s="8">
        <f t="shared" si="39"/>
        <v>160544.13376626326</v>
      </c>
      <c r="M38" s="8">
        <f t="shared" si="39"/>
        <v>159875.71377316734</v>
      </c>
      <c r="N38" s="8">
        <f t="shared" si="39"/>
        <v>159225.11831322062</v>
      </c>
      <c r="O38" s="8">
        <f t="shared" si="39"/>
        <v>158599.03158635413</v>
      </c>
      <c r="P38" s="8">
        <f t="shared" si="39"/>
        <v>157975.17292613123</v>
      </c>
    </row>
    <row r="39" spans="1:16" x14ac:dyDescent="0.35">
      <c r="A39" s="38" t="s">
        <v>53</v>
      </c>
      <c r="B39" s="8">
        <v>134957</v>
      </c>
      <c r="C39" s="14">
        <v>132017</v>
      </c>
      <c r="D39" s="14">
        <v>131393.90175692015</v>
      </c>
      <c r="E39" s="14">
        <v>130586.75670182746</v>
      </c>
      <c r="F39" s="14">
        <v>129775.17678379467</v>
      </c>
      <c r="G39" s="14">
        <v>129579.89986157822</v>
      </c>
      <c r="H39" s="14">
        <v>128777.79586986311</v>
      </c>
      <c r="I39" s="14">
        <v>128015.79707773375</v>
      </c>
      <c r="J39" s="14">
        <v>127291.67541854647</v>
      </c>
      <c r="K39" s="14">
        <v>126589.83442579574</v>
      </c>
      <c r="L39" s="14">
        <v>125899.13376626327</v>
      </c>
      <c r="M39" s="14">
        <v>125230.71377316736</v>
      </c>
      <c r="N39" s="14">
        <v>124580.11831322064</v>
      </c>
      <c r="O39" s="14">
        <v>123954.03158635412</v>
      </c>
      <c r="P39" s="14">
        <v>123330.17292613124</v>
      </c>
    </row>
    <row r="40" spans="1:16" x14ac:dyDescent="0.35">
      <c r="A40" s="38" t="s">
        <v>54</v>
      </c>
      <c r="B40" s="8">
        <v>36690</v>
      </c>
      <c r="C40" s="14">
        <v>34645</v>
      </c>
      <c r="D40" s="14">
        <v>34645</v>
      </c>
      <c r="E40" s="14">
        <v>34645</v>
      </c>
      <c r="F40" s="14">
        <v>34645</v>
      </c>
      <c r="G40" s="14">
        <v>34645</v>
      </c>
      <c r="H40" s="14">
        <v>34645</v>
      </c>
      <c r="I40" s="14">
        <v>34645</v>
      </c>
      <c r="J40" s="14">
        <v>34645</v>
      </c>
      <c r="K40" s="14">
        <v>34645</v>
      </c>
      <c r="L40" s="14">
        <v>34645</v>
      </c>
      <c r="M40" s="14">
        <v>34645</v>
      </c>
      <c r="N40" s="14">
        <v>34645</v>
      </c>
      <c r="O40" s="14">
        <v>34645</v>
      </c>
      <c r="P40" s="14">
        <v>34645</v>
      </c>
    </row>
    <row r="41" spans="1:16" x14ac:dyDescent="0.35">
      <c r="A41" s="38" t="s">
        <v>9</v>
      </c>
      <c r="B41" s="39">
        <f t="shared" ref="B41:P41" si="40">SUM(B42:B43)</f>
        <v>160669</v>
      </c>
      <c r="C41" s="39">
        <f t="shared" si="40"/>
        <v>158306</v>
      </c>
      <c r="D41" s="8">
        <f t="shared" si="40"/>
        <v>157732.55912389141</v>
      </c>
      <c r="E41" s="8">
        <f t="shared" si="40"/>
        <v>156989.73891427036</v>
      </c>
      <c r="F41" s="8">
        <f t="shared" si="40"/>
        <v>156242.8372749261</v>
      </c>
      <c r="G41" s="8">
        <f t="shared" si="40"/>
        <v>156116.66934795206</v>
      </c>
      <c r="H41" s="8">
        <f t="shared" si="40"/>
        <v>155378.15700287034</v>
      </c>
      <c r="I41" s="8">
        <f t="shared" si="40"/>
        <v>154676.5702750427</v>
      </c>
      <c r="J41" s="8">
        <f t="shared" si="40"/>
        <v>154009.85774128838</v>
      </c>
      <c r="K41" s="8">
        <f t="shared" si="40"/>
        <v>153363.65943934186</v>
      </c>
      <c r="L41" s="8">
        <f t="shared" si="40"/>
        <v>152727.7182532993</v>
      </c>
      <c r="M41" s="8">
        <f t="shared" si="40"/>
        <v>152112.2912990645</v>
      </c>
      <c r="N41" s="8">
        <f t="shared" si="40"/>
        <v>151513.27573027601</v>
      </c>
      <c r="O41" s="8">
        <f t="shared" si="40"/>
        <v>150936.82581647614</v>
      </c>
      <c r="P41" s="8">
        <f t="shared" si="40"/>
        <v>150362.42732585702</v>
      </c>
    </row>
    <row r="42" spans="1:16" x14ac:dyDescent="0.35">
      <c r="A42" s="38" t="s">
        <v>53</v>
      </c>
      <c r="B42" s="8">
        <v>124149</v>
      </c>
      <c r="C42" s="14">
        <v>121496</v>
      </c>
      <c r="D42" s="14">
        <v>120922.55912389142</v>
      </c>
      <c r="E42" s="14">
        <v>120179.73891427035</v>
      </c>
      <c r="F42" s="14">
        <v>119432.8372749261</v>
      </c>
      <c r="G42" s="14">
        <v>119306.66934795206</v>
      </c>
      <c r="H42" s="14">
        <v>118568.15700287034</v>
      </c>
      <c r="I42" s="14">
        <v>117866.5702750427</v>
      </c>
      <c r="J42" s="14">
        <v>117199.85774128839</v>
      </c>
      <c r="K42" s="14">
        <v>116553.65943934186</v>
      </c>
      <c r="L42" s="14">
        <v>115917.71825329929</v>
      </c>
      <c r="M42" s="14">
        <v>115302.2912990645</v>
      </c>
      <c r="N42" s="14">
        <v>114703.27573027601</v>
      </c>
      <c r="O42" s="14">
        <v>114126.82581647614</v>
      </c>
      <c r="P42" s="14">
        <v>113552.42732585702</v>
      </c>
    </row>
    <row r="43" spans="1:16" x14ac:dyDescent="0.35">
      <c r="A43" s="38" t="s">
        <v>54</v>
      </c>
      <c r="B43" s="8">
        <v>36520</v>
      </c>
      <c r="C43" s="14">
        <v>36810</v>
      </c>
      <c r="D43" s="14">
        <v>36810</v>
      </c>
      <c r="E43" s="14">
        <v>36810</v>
      </c>
      <c r="F43" s="14">
        <v>36810</v>
      </c>
      <c r="G43" s="14">
        <v>36810</v>
      </c>
      <c r="H43" s="14">
        <v>36810</v>
      </c>
      <c r="I43" s="14">
        <v>36810</v>
      </c>
      <c r="J43" s="14">
        <v>36810</v>
      </c>
      <c r="K43" s="14">
        <v>36810</v>
      </c>
      <c r="L43" s="14">
        <v>36810</v>
      </c>
      <c r="M43" s="14">
        <v>36810</v>
      </c>
      <c r="N43" s="14">
        <v>36810</v>
      </c>
      <c r="O43" s="14">
        <v>36810</v>
      </c>
      <c r="P43" s="14">
        <v>36810</v>
      </c>
    </row>
    <row r="44" spans="1:16" x14ac:dyDescent="0.35">
      <c r="A44" s="11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35">
      <c r="A45" s="10" t="s">
        <v>45</v>
      </c>
      <c r="B45" s="17">
        <v>2023</v>
      </c>
      <c r="C45" s="17">
        <v>2024</v>
      </c>
      <c r="D45" s="17">
        <f t="shared" ref="D45:P45" si="41">C45+1</f>
        <v>2025</v>
      </c>
      <c r="E45" s="17">
        <f t="shared" si="41"/>
        <v>2026</v>
      </c>
      <c r="F45" s="17">
        <f t="shared" si="41"/>
        <v>2027</v>
      </c>
      <c r="G45" s="17">
        <f t="shared" si="41"/>
        <v>2028</v>
      </c>
      <c r="H45" s="17">
        <f t="shared" si="41"/>
        <v>2029</v>
      </c>
      <c r="I45" s="17">
        <f t="shared" si="41"/>
        <v>2030</v>
      </c>
      <c r="J45" s="17">
        <f t="shared" si="41"/>
        <v>2031</v>
      </c>
      <c r="K45" s="17">
        <f t="shared" si="41"/>
        <v>2032</v>
      </c>
      <c r="L45" s="17">
        <f t="shared" si="41"/>
        <v>2033</v>
      </c>
      <c r="M45" s="17">
        <f t="shared" si="41"/>
        <v>2034</v>
      </c>
      <c r="N45" s="17">
        <f t="shared" si="41"/>
        <v>2035</v>
      </c>
      <c r="O45" s="17">
        <f t="shared" si="41"/>
        <v>2036</v>
      </c>
      <c r="P45" s="17">
        <f t="shared" si="41"/>
        <v>2037</v>
      </c>
    </row>
    <row r="46" spans="1:16" x14ac:dyDescent="0.35">
      <c r="A46" s="31" t="s">
        <v>55</v>
      </c>
      <c r="B46" s="27">
        <v>1.0833299999999999</v>
      </c>
      <c r="C46" s="27">
        <v>1.41801</v>
      </c>
      <c r="D46" s="27">
        <v>1.42</v>
      </c>
      <c r="E46" s="27">
        <f>D46*1.061242</f>
        <v>1.5069636399999999</v>
      </c>
      <c r="F46" s="27">
        <f>E46*1.012372</f>
        <v>1.52560779415408</v>
      </c>
      <c r="G46" s="27">
        <f>F46*1.008593</f>
        <v>1.5387173419292461</v>
      </c>
      <c r="H46" s="27">
        <f>G46*1.011247</f>
        <v>1.5560232958739244</v>
      </c>
      <c r="I46" s="27">
        <f>H46*1.011618</f>
        <v>1.5741011745253874</v>
      </c>
      <c r="J46" s="27">
        <f>I46*1.0126483</f>
        <v>1.5940108784111369</v>
      </c>
      <c r="K46" s="27">
        <f>J46*1.013321</f>
        <v>1.6152446973224515</v>
      </c>
      <c r="L46" s="27">
        <f>K46*1.01368235</f>
        <v>1.6373450406068615</v>
      </c>
      <c r="M46" s="27">
        <f>L46*1.0147</f>
        <v>1.6614140127037822</v>
      </c>
      <c r="N46" s="27">
        <f>M46*1.015285</f>
        <v>1.6868087258879596</v>
      </c>
      <c r="O46" s="27">
        <f>N46*1.015452</f>
        <v>1.7128732943203804</v>
      </c>
      <c r="P46" s="27">
        <f>O46*1.016505</f>
        <v>1.7411442680431382</v>
      </c>
    </row>
    <row r="47" spans="1:16" x14ac:dyDescent="0.35">
      <c r="A47" s="1" t="s">
        <v>56</v>
      </c>
      <c r="B47" s="27">
        <v>1.916666</v>
      </c>
      <c r="C47" s="27">
        <v>3.1721292999999999</v>
      </c>
      <c r="D47" s="27">
        <v>3.17</v>
      </c>
      <c r="E47" s="27">
        <f t="shared" ref="E47:E49" si="42">D47*1.061242</f>
        <v>3.36413714</v>
      </c>
      <c r="F47" s="27">
        <f t="shared" ref="F47:F49" si="43">E47*1.012372</f>
        <v>3.4057582446960804</v>
      </c>
      <c r="G47" s="27">
        <f t="shared" ref="G47:G49" si="44">F47*1.008593</f>
        <v>3.4350239252927541</v>
      </c>
      <c r="H47" s="27">
        <f t="shared" ref="H47:H49" si="45">G47*1.011247</f>
        <v>3.4736576393805216</v>
      </c>
      <c r="I47" s="27">
        <f t="shared" ref="I47:I49" si="46">H47*1.011618</f>
        <v>3.5140145938348444</v>
      </c>
      <c r="J47" s="27">
        <f t="shared" ref="J47:J49" si="47">I47*1.0126483</f>
        <v>3.5584609046220455</v>
      </c>
      <c r="K47" s="27">
        <f t="shared" ref="K47:K49" si="48">J47*1.013321</f>
        <v>3.6058631623325152</v>
      </c>
      <c r="L47" s="27">
        <f t="shared" ref="L47:L49" si="49">K47*1.01368235</f>
        <v>3.6551998441716558</v>
      </c>
      <c r="M47" s="27">
        <f t="shared" ref="M47:M49" si="50">L47*1.0147</f>
        <v>3.7089312818809788</v>
      </c>
      <c r="N47" s="27">
        <f t="shared" ref="N47:N49" si="51">M47*1.015285</f>
        <v>3.7656222965245294</v>
      </c>
      <c r="O47" s="27">
        <f t="shared" ref="O47:O49" si="52">N47*1.015452</f>
        <v>3.8238086922504264</v>
      </c>
      <c r="P47" s="27">
        <f t="shared" ref="P47:P49" si="53">O47*1.016505</f>
        <v>3.8869206547160196</v>
      </c>
    </row>
    <row r="48" spans="1:16" x14ac:dyDescent="0.35">
      <c r="A48" s="31" t="s">
        <v>57</v>
      </c>
      <c r="B48" s="27">
        <v>1.0833299999999999</v>
      </c>
      <c r="C48" s="27">
        <v>1.41801</v>
      </c>
      <c r="D48" s="27">
        <v>1.42</v>
      </c>
      <c r="E48" s="27">
        <f t="shared" si="42"/>
        <v>1.5069636399999999</v>
      </c>
      <c r="F48" s="27">
        <f t="shared" si="43"/>
        <v>1.52560779415408</v>
      </c>
      <c r="G48" s="27">
        <f t="shared" si="44"/>
        <v>1.5387173419292461</v>
      </c>
      <c r="H48" s="27">
        <f t="shared" si="45"/>
        <v>1.5560232958739244</v>
      </c>
      <c r="I48" s="27">
        <f t="shared" si="46"/>
        <v>1.5741011745253874</v>
      </c>
      <c r="J48" s="27">
        <f t="shared" si="47"/>
        <v>1.5940108784111369</v>
      </c>
      <c r="K48" s="27">
        <f t="shared" si="48"/>
        <v>1.6152446973224515</v>
      </c>
      <c r="L48" s="27">
        <f t="shared" si="49"/>
        <v>1.6373450406068615</v>
      </c>
      <c r="M48" s="27">
        <f t="shared" si="50"/>
        <v>1.6614140127037822</v>
      </c>
      <c r="N48" s="27">
        <f t="shared" si="51"/>
        <v>1.6868087258879596</v>
      </c>
      <c r="O48" s="27">
        <f t="shared" si="52"/>
        <v>1.7128732943203804</v>
      </c>
      <c r="P48" s="27">
        <f t="shared" si="53"/>
        <v>1.7411442680431382</v>
      </c>
    </row>
    <row r="49" spans="1:16" x14ac:dyDescent="0.35">
      <c r="A49" s="1" t="s">
        <v>58</v>
      </c>
      <c r="B49" s="27">
        <v>1.916666</v>
      </c>
      <c r="C49" s="27">
        <v>3.1721292999999999</v>
      </c>
      <c r="D49" s="27">
        <v>3.17</v>
      </c>
      <c r="E49" s="27">
        <f t="shared" si="42"/>
        <v>3.36413714</v>
      </c>
      <c r="F49" s="27">
        <f t="shared" si="43"/>
        <v>3.4057582446960804</v>
      </c>
      <c r="G49" s="27">
        <f t="shared" si="44"/>
        <v>3.4350239252927541</v>
      </c>
      <c r="H49" s="27">
        <f t="shared" si="45"/>
        <v>3.4736576393805216</v>
      </c>
      <c r="I49" s="27">
        <f t="shared" si="46"/>
        <v>3.5140145938348444</v>
      </c>
      <c r="J49" s="27">
        <f t="shared" si="47"/>
        <v>3.5584609046220455</v>
      </c>
      <c r="K49" s="27">
        <f t="shared" si="48"/>
        <v>3.6058631623325152</v>
      </c>
      <c r="L49" s="27">
        <f t="shared" si="49"/>
        <v>3.6551998441716558</v>
      </c>
      <c r="M49" s="27">
        <f t="shared" si="50"/>
        <v>3.7089312818809788</v>
      </c>
      <c r="N49" s="27">
        <f t="shared" si="51"/>
        <v>3.7656222965245294</v>
      </c>
      <c r="O49" s="27">
        <f t="shared" si="52"/>
        <v>3.8238086922504264</v>
      </c>
      <c r="P49" s="27">
        <f t="shared" si="53"/>
        <v>3.8869206547160196</v>
      </c>
    </row>
    <row r="50" spans="1:16" x14ac:dyDescent="0.35">
      <c r="A50" s="11"/>
      <c r="B50" s="25"/>
      <c r="C50" s="33"/>
      <c r="D50" s="34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</row>
    <row r="51" spans="1:16" x14ac:dyDescent="0.35">
      <c r="A51" s="41" t="s">
        <v>52</v>
      </c>
      <c r="B51" s="45">
        <f>B39*B46+B40*B48+B42*B47+B43*B49</f>
        <v>493899.15406399994</v>
      </c>
      <c r="C51" s="45">
        <f t="shared" ref="C51:P51" si="54">C39*C46+C40*C48+C42*C47+C43*C49</f>
        <v>738495.48358580004</v>
      </c>
      <c r="D51" s="45">
        <f t="shared" si="54"/>
        <v>735787.45291756233</v>
      </c>
      <c r="E51" s="45">
        <f>E39*E46+E40*E48+E42*E47+E43*E49</f>
        <v>777133.26080338052</v>
      </c>
      <c r="F51" s="45">
        <f t="shared" si="54"/>
        <v>782966.03444133652</v>
      </c>
      <c r="G51" s="45">
        <f t="shared" si="54"/>
        <v>788960.1957408376</v>
      </c>
      <c r="H51" s="45">
        <f t="shared" si="54"/>
        <v>794020.1995162426</v>
      </c>
      <c r="I51" s="45">
        <f t="shared" si="54"/>
        <v>799580.27700011735</v>
      </c>
      <c r="J51" s="45">
        <f t="shared" si="54"/>
        <v>806166.87992967409</v>
      </c>
      <c r="K51" s="45">
        <f t="shared" si="54"/>
        <v>813442.0813427621</v>
      </c>
      <c r="L51" s="45">
        <f t="shared" si="54"/>
        <v>821116.47318086785</v>
      </c>
      <c r="M51" s="45">
        <f t="shared" si="54"/>
        <v>829793.78671145148</v>
      </c>
      <c r="N51" s="45">
        <f t="shared" si="54"/>
        <v>839124.08826067951</v>
      </c>
      <c r="O51" s="45">
        <f t="shared" si="54"/>
        <v>848813.5922470704</v>
      </c>
      <c r="P51" s="45">
        <f t="shared" si="54"/>
        <v>859504.39129956695</v>
      </c>
    </row>
    <row r="52" spans="1:16" x14ac:dyDescent="0.35">
      <c r="A52" s="41" t="s">
        <v>46</v>
      </c>
      <c r="B52" s="42">
        <f>B54-B53</f>
        <v>764427.92269333336</v>
      </c>
      <c r="C52" s="42">
        <f>C54-C53</f>
        <v>755013.18828125356</v>
      </c>
      <c r="D52" s="42">
        <f t="shared" ref="D52:O52" si="55">D54-D53</f>
        <v>769190.20243923308</v>
      </c>
      <c r="E52" s="42">
        <f t="shared" si="55"/>
        <v>777133.28421303711</v>
      </c>
      <c r="F52" s="42">
        <f t="shared" si="55"/>
        <v>782966.05773491424</v>
      </c>
      <c r="G52" s="42">
        <f t="shared" si="55"/>
        <v>788960.32573898404</v>
      </c>
      <c r="H52" s="42">
        <f t="shared" si="55"/>
        <v>794020.23078167974</v>
      </c>
      <c r="I52" s="42">
        <f t="shared" si="55"/>
        <v>799579.92639671033</v>
      </c>
      <c r="J52" s="42">
        <f t="shared" si="55"/>
        <v>806166.82712765376</v>
      </c>
      <c r="K52" s="42">
        <f t="shared" si="55"/>
        <v>813442.16222039133</v>
      </c>
      <c r="L52" s="42">
        <f t="shared" si="55"/>
        <v>821116.25798787945</v>
      </c>
      <c r="M52" s="42">
        <f t="shared" si="55"/>
        <v>829793.86926009296</v>
      </c>
      <c r="N52" s="42">
        <f t="shared" si="55"/>
        <v>839124.1156415724</v>
      </c>
      <c r="O52" s="42">
        <f t="shared" si="55"/>
        <v>848813.67604014534</v>
      </c>
      <c r="P52" s="42">
        <f t="shared" ref="P52" si="56">P54-P53</f>
        <v>859504.22944026289</v>
      </c>
    </row>
    <row r="53" spans="1:16" x14ac:dyDescent="0.35">
      <c r="A53" s="41" t="s">
        <v>43</v>
      </c>
      <c r="B53" s="45">
        <v>6665</v>
      </c>
      <c r="C53" s="45">
        <v>12157</v>
      </c>
      <c r="D53" s="45">
        <f t="shared" ref="D53:P53" si="57">C53*(1+D4)</f>
        <v>12764.85</v>
      </c>
      <c r="E53" s="45">
        <f t="shared" si="57"/>
        <v>13173.325200000001</v>
      </c>
      <c r="F53" s="45">
        <f t="shared" si="57"/>
        <v>13476.311679599999</v>
      </c>
      <c r="G53" s="45">
        <f t="shared" si="57"/>
        <v>13772.7905365512</v>
      </c>
      <c r="H53" s="45">
        <f t="shared" si="57"/>
        <v>14048.246347282224</v>
      </c>
      <c r="I53" s="45">
        <f t="shared" si="57"/>
        <v>14329.211274227868</v>
      </c>
      <c r="J53" s="45">
        <f t="shared" si="57"/>
        <v>14615.795499712425</v>
      </c>
      <c r="K53" s="45">
        <f t="shared" si="57"/>
        <v>14908.111409706675</v>
      </c>
      <c r="L53" s="45">
        <f t="shared" si="57"/>
        <v>15206.273637900809</v>
      </c>
      <c r="M53" s="45">
        <f t="shared" si="57"/>
        <v>15510.399110658826</v>
      </c>
      <c r="N53" s="45">
        <f t="shared" si="57"/>
        <v>15820.607092872002</v>
      </c>
      <c r="O53" s="45">
        <f t="shared" si="57"/>
        <v>16137.019234729441</v>
      </c>
      <c r="P53" s="45">
        <f t="shared" si="57"/>
        <v>16459.759619424032</v>
      </c>
    </row>
    <row r="54" spans="1:16" x14ac:dyDescent="0.35">
      <c r="A54" s="41" t="s">
        <v>44</v>
      </c>
      <c r="B54" s="42">
        <f t="shared" ref="B54:P54" si="58">B35</f>
        <v>771092.92269333336</v>
      </c>
      <c r="C54" s="42">
        <f t="shared" si="58"/>
        <v>767170.18828125356</v>
      </c>
      <c r="D54" s="42">
        <f t="shared" si="58"/>
        <v>781955.05243923306</v>
      </c>
      <c r="E54" s="42">
        <f t="shared" si="58"/>
        <v>790306.60941303708</v>
      </c>
      <c r="F54" s="42">
        <f t="shared" si="58"/>
        <v>796442.36941451428</v>
      </c>
      <c r="G54" s="42">
        <f t="shared" si="58"/>
        <v>802733.1162755352</v>
      </c>
      <c r="H54" s="42">
        <f t="shared" si="58"/>
        <v>808068.47712896194</v>
      </c>
      <c r="I54" s="42">
        <f t="shared" si="58"/>
        <v>813909.13767093816</v>
      </c>
      <c r="J54" s="42">
        <f t="shared" si="58"/>
        <v>820782.62262736622</v>
      </c>
      <c r="K54" s="42">
        <f t="shared" si="58"/>
        <v>828350.27363009797</v>
      </c>
      <c r="L54" s="42">
        <f t="shared" si="58"/>
        <v>836322.53162578028</v>
      </c>
      <c r="M54" s="42">
        <f t="shared" si="58"/>
        <v>845304.26837075176</v>
      </c>
      <c r="N54" s="42">
        <f t="shared" si="58"/>
        <v>854944.72273444443</v>
      </c>
      <c r="O54" s="42">
        <f t="shared" si="58"/>
        <v>864950.6952748748</v>
      </c>
      <c r="P54" s="42">
        <f t="shared" si="58"/>
        <v>875963.98905968689</v>
      </c>
    </row>
    <row r="55" spans="1:16" ht="6.65" customHeight="1" x14ac:dyDescent="0.35">
      <c r="A55" s="11"/>
      <c r="B55" s="7"/>
      <c r="C55" s="7"/>
    </row>
    <row r="56" spans="1:16" ht="21.65" hidden="1" customHeight="1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ht="12" customHeight="1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x14ac:dyDescent="0.35">
      <c r="A58" s="9" t="s">
        <v>47</v>
      </c>
      <c r="B58" s="8">
        <v>69</v>
      </c>
      <c r="C58" s="8">
        <v>68</v>
      </c>
      <c r="D58" s="8">
        <f>C58</f>
        <v>68</v>
      </c>
      <c r="E58" s="8">
        <f t="shared" ref="E58:P58" si="59">D58</f>
        <v>68</v>
      </c>
      <c r="F58" s="8">
        <f t="shared" si="59"/>
        <v>68</v>
      </c>
      <c r="G58" s="8">
        <f t="shared" si="59"/>
        <v>68</v>
      </c>
      <c r="H58" s="8">
        <f t="shared" si="59"/>
        <v>68</v>
      </c>
      <c r="I58" s="8">
        <f t="shared" si="59"/>
        <v>68</v>
      </c>
      <c r="J58" s="8">
        <f t="shared" si="59"/>
        <v>68</v>
      </c>
      <c r="K58" s="8">
        <f t="shared" si="59"/>
        <v>68</v>
      </c>
      <c r="L58" s="8">
        <f t="shared" si="59"/>
        <v>68</v>
      </c>
      <c r="M58" s="8">
        <f t="shared" si="59"/>
        <v>68</v>
      </c>
      <c r="N58" s="8">
        <f t="shared" si="59"/>
        <v>68</v>
      </c>
      <c r="O58" s="8">
        <f t="shared" si="59"/>
        <v>68</v>
      </c>
      <c r="P58" s="8">
        <f t="shared" si="59"/>
        <v>68</v>
      </c>
    </row>
    <row r="59" spans="1:16" x14ac:dyDescent="0.35">
      <c r="A59" s="9" t="s">
        <v>59</v>
      </c>
      <c r="B59" s="8">
        <v>1013.8</v>
      </c>
      <c r="C59" s="8">
        <f t="shared" ref="C59:P59" si="60">B59*(1+C4)</f>
        <v>1052.3244</v>
      </c>
      <c r="D59" s="8">
        <f t="shared" si="60"/>
        <v>1104.9406200000001</v>
      </c>
      <c r="E59" s="8">
        <f t="shared" si="60"/>
        <v>1140.2987198400001</v>
      </c>
      <c r="F59" s="8">
        <f t="shared" si="60"/>
        <v>1166.52559039632</v>
      </c>
      <c r="G59" s="8">
        <f t="shared" si="60"/>
        <v>1192.1891533850392</v>
      </c>
      <c r="H59" s="8">
        <f t="shared" si="60"/>
        <v>1216.0329364527399</v>
      </c>
      <c r="I59" s="8">
        <f t="shared" si="60"/>
        <v>1240.3535951817948</v>
      </c>
      <c r="J59" s="8">
        <f t="shared" si="60"/>
        <v>1265.1606670854308</v>
      </c>
      <c r="K59" s="8">
        <f t="shared" si="60"/>
        <v>1290.4638804271394</v>
      </c>
      <c r="L59" s="8">
        <f t="shared" si="60"/>
        <v>1316.2731580356822</v>
      </c>
      <c r="M59" s="8">
        <f t="shared" si="60"/>
        <v>1342.5986211963959</v>
      </c>
      <c r="N59" s="8">
        <f t="shared" si="60"/>
        <v>1369.4505936203238</v>
      </c>
      <c r="O59" s="8">
        <f t="shared" si="60"/>
        <v>1396.8396054927302</v>
      </c>
      <c r="P59" s="8">
        <f t="shared" si="60"/>
        <v>1424.7763976025849</v>
      </c>
    </row>
    <row r="60" spans="1:16" x14ac:dyDescent="0.35">
      <c r="A60" s="9" t="s">
        <v>20</v>
      </c>
      <c r="B60" s="28">
        <f>((B46*1.22*B58+B47*1.22*B58)*365/12/1000)</f>
        <v>7.681414758099999</v>
      </c>
      <c r="C60" s="28">
        <f>((C46*1.22*C58+C47*1.22*C58)*365/12/1000)</f>
        <v>11.582604504976667</v>
      </c>
      <c r="D60" s="28">
        <f>((D46*1.23*D58+D47*1.23*D58)*365/12/1000)</f>
        <v>11.677189500000001</v>
      </c>
      <c r="E60" s="28">
        <f>((E46*1.24*E58+E47*1.24*E58)*365/12/1000)</f>
        <v>12.493074540492</v>
      </c>
      <c r="F60" s="28">
        <f>((F46*1.24*F58+F47*1.24*F58)*365/12/1000)</f>
        <v>12.647638858706967</v>
      </c>
      <c r="G60" s="28">
        <f>((G46*1.24*G58+G47*1.24*G58)*365/12/1000)</f>
        <v>12.756320019419839</v>
      </c>
      <c r="H60" s="28">
        <f t="shared" ref="H60:P60" si="61">((H46*1.22*H58+H47*1.22*H58)*365/12/1000)</f>
        <v>12.691729215989893</v>
      </c>
      <c r="I60" s="28">
        <f t="shared" si="61"/>
        <v>12.839181726021263</v>
      </c>
      <c r="J60" s="28">
        <f t="shared" si="61"/>
        <v>13.001575548246496</v>
      </c>
      <c r="K60" s="28">
        <f t="shared" si="61"/>
        <v>13.174769536124687</v>
      </c>
      <c r="L60" s="28">
        <f t="shared" si="61"/>
        <v>13.355031344087283</v>
      </c>
      <c r="M60" s="28">
        <f t="shared" si="61"/>
        <v>13.551350304845364</v>
      </c>
      <c r="N60" s="28">
        <f t="shared" si="61"/>
        <v>13.758482694254928</v>
      </c>
      <c r="O60" s="28">
        <f t="shared" si="61"/>
        <v>13.971078768846557</v>
      </c>
      <c r="P60" s="28">
        <f t="shared" si="61"/>
        <v>14.201671423926369</v>
      </c>
    </row>
    <row r="61" spans="1:16" x14ac:dyDescent="0.35">
      <c r="A61" s="10" t="s">
        <v>21</v>
      </c>
      <c r="B61" s="29">
        <f t="shared" ref="B61:P61" si="62">B60/B59</f>
        <v>7.5768541705464581E-3</v>
      </c>
      <c r="C61" s="29">
        <f t="shared" si="62"/>
        <v>1.1006686250909574E-2</v>
      </c>
      <c r="D61" s="29">
        <f t="shared" si="62"/>
        <v>1.0568160214799597E-2</v>
      </c>
      <c r="E61" s="29">
        <f t="shared" si="62"/>
        <v>1.0955966470123682E-2</v>
      </c>
      <c r="F61" s="29">
        <f t="shared" si="62"/>
        <v>1.0842144366854402E-2</v>
      </c>
      <c r="G61" s="29">
        <f t="shared" si="62"/>
        <v>1.069991283111427E-2</v>
      </c>
      <c r="H61" s="29">
        <f t="shared" si="62"/>
        <v>1.0436994620402823E-2</v>
      </c>
      <c r="I61" s="29">
        <f t="shared" si="62"/>
        <v>1.0351227082257509E-2</v>
      </c>
      <c r="J61" s="29">
        <f t="shared" si="62"/>
        <v>1.0276620105649045E-2</v>
      </c>
      <c r="K61" s="29">
        <f t="shared" si="62"/>
        <v>1.0209328394192545E-2</v>
      </c>
      <c r="L61" s="29">
        <f t="shared" si="62"/>
        <v>1.0146094116222379E-2</v>
      </c>
      <c r="M61" s="29">
        <f t="shared" si="62"/>
        <v>1.0093374215422397E-2</v>
      </c>
      <c r="N61" s="29">
        <f t="shared" si="62"/>
        <v>1.0046717098338362E-2</v>
      </c>
      <c r="O61" s="29">
        <f t="shared" si="62"/>
        <v>1.0001920559746949E-2</v>
      </c>
      <c r="P61" s="29">
        <f t="shared" si="62"/>
        <v>9.9676492731231095E-3</v>
      </c>
    </row>
    <row r="62" spans="1:16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35">
      <c r="A63" s="10" t="s">
        <v>16</v>
      </c>
      <c r="B63" s="16">
        <f t="shared" ref="B63:P63" si="63">B51+B53</f>
        <v>500564.15406399994</v>
      </c>
      <c r="C63" s="16">
        <f t="shared" si="63"/>
        <v>750652.48358580004</v>
      </c>
      <c r="D63" s="16">
        <f t="shared" si="63"/>
        <v>748552.30291756231</v>
      </c>
      <c r="E63" s="16">
        <f t="shared" si="63"/>
        <v>790306.58600338048</v>
      </c>
      <c r="F63" s="16">
        <f t="shared" si="63"/>
        <v>796442.34612093656</v>
      </c>
      <c r="G63" s="16">
        <f t="shared" si="63"/>
        <v>802732.98627738876</v>
      </c>
      <c r="H63" s="16">
        <f t="shared" si="63"/>
        <v>808068.4458635248</v>
      </c>
      <c r="I63" s="16">
        <f t="shared" si="63"/>
        <v>813909.48827434517</v>
      </c>
      <c r="J63" s="16">
        <f t="shared" si="63"/>
        <v>820782.67542938655</v>
      </c>
      <c r="K63" s="16">
        <f t="shared" si="63"/>
        <v>828350.19275246875</v>
      </c>
      <c r="L63" s="16">
        <f t="shared" si="63"/>
        <v>836322.74681876868</v>
      </c>
      <c r="M63" s="16">
        <f t="shared" si="63"/>
        <v>845304.18582211027</v>
      </c>
      <c r="N63" s="16">
        <f t="shared" si="63"/>
        <v>854944.69535355153</v>
      </c>
      <c r="O63" s="16">
        <f t="shared" si="63"/>
        <v>864950.61148179986</v>
      </c>
      <c r="P63" s="16">
        <f t="shared" si="63"/>
        <v>875964.15091899096</v>
      </c>
    </row>
    <row r="64" spans="1:16" x14ac:dyDescent="0.35">
      <c r="A64" s="11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35">
      <c r="A65" s="10" t="s">
        <v>49</v>
      </c>
      <c r="B65" s="47">
        <v>2023</v>
      </c>
      <c r="C65" s="17">
        <v>2024</v>
      </c>
      <c r="D65" s="17">
        <f t="shared" ref="D65" si="64">C65+1</f>
        <v>2025</v>
      </c>
      <c r="E65" s="17">
        <f t="shared" ref="E65" si="65">D65+1</f>
        <v>2026</v>
      </c>
      <c r="F65" s="17">
        <f t="shared" ref="F65" si="66">E65+1</f>
        <v>2027</v>
      </c>
      <c r="G65" s="17">
        <f t="shared" ref="G65" si="67">F65+1</f>
        <v>2028</v>
      </c>
      <c r="H65" s="17">
        <f t="shared" ref="H65" si="68">G65+1</f>
        <v>2029</v>
      </c>
      <c r="I65" s="17">
        <f t="shared" ref="I65" si="69">H65+1</f>
        <v>2030</v>
      </c>
      <c r="J65" s="17">
        <f t="shared" ref="J65" si="70">I65+1</f>
        <v>2031</v>
      </c>
      <c r="K65" s="17">
        <f t="shared" ref="K65" si="71">J65+1</f>
        <v>2032</v>
      </c>
      <c r="L65" s="17">
        <f t="shared" ref="L65" si="72">K65+1</f>
        <v>2033</v>
      </c>
      <c r="M65" s="17">
        <f t="shared" ref="M65" si="73">L65+1</f>
        <v>2034</v>
      </c>
      <c r="N65" s="17">
        <f t="shared" ref="N65" si="74">M65+1</f>
        <v>2035</v>
      </c>
      <c r="O65" s="17">
        <f t="shared" ref="O65:P65" si="75">N65+1</f>
        <v>2036</v>
      </c>
      <c r="P65" s="17">
        <f t="shared" si="75"/>
        <v>2037</v>
      </c>
    </row>
    <row r="66" spans="1:16" x14ac:dyDescent="0.35">
      <c r="A66" s="9" t="s">
        <v>11</v>
      </c>
      <c r="B66" s="8">
        <f t="shared" ref="B66:O66" si="76">B63</f>
        <v>500564.15406399994</v>
      </c>
      <c r="C66" s="8">
        <f t="shared" si="76"/>
        <v>750652.48358580004</v>
      </c>
      <c r="D66" s="8">
        <f t="shared" si="76"/>
        <v>748552.30291756231</v>
      </c>
      <c r="E66" s="8">
        <f t="shared" si="76"/>
        <v>790306.58600338048</v>
      </c>
      <c r="F66" s="8">
        <f t="shared" si="76"/>
        <v>796442.34612093656</v>
      </c>
      <c r="G66" s="8">
        <f t="shared" si="76"/>
        <v>802732.98627738876</v>
      </c>
      <c r="H66" s="8">
        <f t="shared" si="76"/>
        <v>808068.4458635248</v>
      </c>
      <c r="I66" s="8">
        <f t="shared" si="76"/>
        <v>813909.48827434517</v>
      </c>
      <c r="J66" s="8">
        <f t="shared" si="76"/>
        <v>820782.67542938655</v>
      </c>
      <c r="K66" s="8">
        <f t="shared" si="76"/>
        <v>828350.19275246875</v>
      </c>
      <c r="L66" s="8">
        <f t="shared" si="76"/>
        <v>836322.74681876868</v>
      </c>
      <c r="M66" s="8">
        <f t="shared" si="76"/>
        <v>845304.18582211027</v>
      </c>
      <c r="N66" s="8">
        <f t="shared" si="76"/>
        <v>854944.69535355153</v>
      </c>
      <c r="O66" s="8">
        <f t="shared" si="76"/>
        <v>864950.61148179986</v>
      </c>
      <c r="P66" s="8">
        <f t="shared" ref="P66" si="77">P63</f>
        <v>875964.15091899096</v>
      </c>
    </row>
    <row r="67" spans="1:16" x14ac:dyDescent="0.35">
      <c r="A67" s="9" t="s">
        <v>25</v>
      </c>
      <c r="B67" s="8">
        <f t="shared" ref="B67:P67" si="78">B28</f>
        <v>502211.13</v>
      </c>
      <c r="C67" s="8">
        <f t="shared" si="78"/>
        <v>525334.46</v>
      </c>
      <c r="D67" s="8">
        <f t="shared" si="78"/>
        <v>539235.65686702635</v>
      </c>
      <c r="E67" s="8">
        <f t="shared" si="78"/>
        <v>550954.42459538102</v>
      </c>
      <c r="F67" s="8">
        <f t="shared" si="78"/>
        <v>558529.82701658795</v>
      </c>
      <c r="G67" s="8">
        <f t="shared" si="78"/>
        <v>565642.62702474662</v>
      </c>
      <c r="H67" s="8">
        <f t="shared" si="78"/>
        <v>571463.37943089707</v>
      </c>
      <c r="I67" s="8">
        <f t="shared" si="78"/>
        <v>577695.66977901524</v>
      </c>
      <c r="J67" s="8">
        <f t="shared" si="78"/>
        <v>584317.19564740104</v>
      </c>
      <c r="K67" s="8">
        <f t="shared" si="78"/>
        <v>591297.2463347317</v>
      </c>
      <c r="L67" s="8">
        <f t="shared" si="78"/>
        <v>598612.41202447494</v>
      </c>
      <c r="M67" s="8">
        <f t="shared" si="78"/>
        <v>606261.74523268559</v>
      </c>
      <c r="N67" s="8">
        <f t="shared" si="78"/>
        <v>614232.24816572038</v>
      </c>
      <c r="O67" s="8">
        <f t="shared" si="78"/>
        <v>622522.53581841243</v>
      </c>
      <c r="P67" s="8">
        <f t="shared" si="78"/>
        <v>631107.08886211843</v>
      </c>
    </row>
    <row r="68" spans="1:16" x14ac:dyDescent="0.35">
      <c r="A68" s="9" t="s">
        <v>34</v>
      </c>
      <c r="B68" s="8">
        <f t="shared" ref="B68:O68" si="79">B66-B67</f>
        <v>-1646.9759360000608</v>
      </c>
      <c r="C68" s="8">
        <f t="shared" si="79"/>
        <v>225318.02358580008</v>
      </c>
      <c r="D68" s="8">
        <f t="shared" si="79"/>
        <v>209316.64605053596</v>
      </c>
      <c r="E68" s="8">
        <f t="shared" si="79"/>
        <v>239352.16140799946</v>
      </c>
      <c r="F68" s="8">
        <f t="shared" si="79"/>
        <v>237912.51910434861</v>
      </c>
      <c r="G68" s="8">
        <f t="shared" si="79"/>
        <v>237090.35925264214</v>
      </c>
      <c r="H68" s="8">
        <f t="shared" si="79"/>
        <v>236605.06643262773</v>
      </c>
      <c r="I68" s="8">
        <f t="shared" si="79"/>
        <v>236213.81849532994</v>
      </c>
      <c r="J68" s="8">
        <f t="shared" si="79"/>
        <v>236465.47978198552</v>
      </c>
      <c r="K68" s="8">
        <f t="shared" si="79"/>
        <v>237052.94641773705</v>
      </c>
      <c r="L68" s="8">
        <f t="shared" si="79"/>
        <v>237710.33479429374</v>
      </c>
      <c r="M68" s="8">
        <f t="shared" si="79"/>
        <v>239042.44058942469</v>
      </c>
      <c r="N68" s="8">
        <f t="shared" si="79"/>
        <v>240712.44718783116</v>
      </c>
      <c r="O68" s="8">
        <f t="shared" si="79"/>
        <v>242428.07566338743</v>
      </c>
      <c r="P68" s="8">
        <f t="shared" ref="P68" si="80">P66-P67</f>
        <v>244857.06205687253</v>
      </c>
    </row>
    <row r="69" spans="1:16" x14ac:dyDescent="0.35">
      <c r="A69" s="9" t="s">
        <v>62</v>
      </c>
      <c r="B69" s="8">
        <v>25769.81</v>
      </c>
      <c r="C69" s="8">
        <v>31692.86</v>
      </c>
      <c r="D69" s="8">
        <v>29416.050000000003</v>
      </c>
      <c r="E69" s="8">
        <v>31303.600000000002</v>
      </c>
      <c r="F69" s="8">
        <v>31303.600000000002</v>
      </c>
      <c r="G69" s="8">
        <v>24888.280000000002</v>
      </c>
      <c r="H69" s="8">
        <v>29570.059999999994</v>
      </c>
      <c r="I69" s="8">
        <v>25901.54</v>
      </c>
      <c r="J69" s="8">
        <v>27501.54</v>
      </c>
      <c r="K69" s="8">
        <v>27501.54</v>
      </c>
      <c r="L69" s="8">
        <v>23347.68</v>
      </c>
      <c r="M69" s="8">
        <v>15040</v>
      </c>
      <c r="N69" s="8">
        <v>16640</v>
      </c>
      <c r="O69" s="8">
        <v>18240</v>
      </c>
      <c r="P69" s="8">
        <v>18240</v>
      </c>
    </row>
    <row r="70" spans="1:16" x14ac:dyDescent="0.35">
      <c r="A70" s="9" t="s">
        <v>60</v>
      </c>
      <c r="B70" s="8">
        <v>8139.53</v>
      </c>
      <c r="C70" s="8">
        <v>7860.28</v>
      </c>
      <c r="D70" s="8">
        <v>6686.1804624999995</v>
      </c>
      <c r="E70" s="8">
        <v>6644.9117874999993</v>
      </c>
      <c r="F70" s="8">
        <v>5273.2531124999978</v>
      </c>
      <c r="G70" s="8">
        <v>4049.1467974999987</v>
      </c>
      <c r="H70" s="8">
        <v>2859.419359999999</v>
      </c>
      <c r="I70" s="8">
        <v>3143.2457899999981</v>
      </c>
      <c r="J70" s="8">
        <v>3573.7995699999992</v>
      </c>
      <c r="K70" s="8">
        <v>2436.3533499999985</v>
      </c>
      <c r="L70" s="8">
        <v>1388.2151199999994</v>
      </c>
      <c r="M70" s="8">
        <v>608</v>
      </c>
      <c r="N70" s="8">
        <v>1766.3999999999999</v>
      </c>
      <c r="O70" s="8">
        <v>2924.8</v>
      </c>
      <c r="P70" s="8">
        <v>2195.1999999999998</v>
      </c>
    </row>
    <row r="71" spans="1:16" x14ac:dyDescent="0.35">
      <c r="A71" s="10" t="s">
        <v>18</v>
      </c>
      <c r="B71" s="13">
        <f>B68/(B69+B70)</f>
        <v>-4.8569979126696673E-2</v>
      </c>
      <c r="C71" s="13">
        <f>C68/(C69+C70)</f>
        <v>5.6965900453364782</v>
      </c>
      <c r="D71" s="13">
        <f t="shared" ref="D71:P71" si="81">D68/(D69+D70)</f>
        <v>5.7978868166596156</v>
      </c>
      <c r="E71" s="13">
        <f t="shared" si="81"/>
        <v>6.3072871671041542</v>
      </c>
      <c r="F71" s="13">
        <f t="shared" si="81"/>
        <v>6.5044556559471465</v>
      </c>
      <c r="G71" s="13">
        <f t="shared" si="81"/>
        <v>8.193208086944523</v>
      </c>
      <c r="H71" s="13">
        <f t="shared" si="81"/>
        <v>7.2959872036819462</v>
      </c>
      <c r="I71" s="13">
        <f t="shared" si="81"/>
        <v>8.1327443832158473</v>
      </c>
      <c r="J71" s="13">
        <f t="shared" si="81"/>
        <v>7.6094254496986506</v>
      </c>
      <c r="K71" s="13">
        <f t="shared" si="81"/>
        <v>7.9181572212307003</v>
      </c>
      <c r="L71" s="13">
        <f t="shared" si="81"/>
        <v>9.6099346169241731</v>
      </c>
      <c r="M71" s="13">
        <f t="shared" si="81"/>
        <v>15.276229587769983</v>
      </c>
      <c r="N71" s="13">
        <f t="shared" si="81"/>
        <v>13.077649469088531</v>
      </c>
      <c r="O71" s="13">
        <f t="shared" si="81"/>
        <v>11.454305056668971</v>
      </c>
      <c r="P71" s="13">
        <f t="shared" si="81"/>
        <v>11.98212212539503</v>
      </c>
    </row>
    <row r="72" spans="1:16" x14ac:dyDescent="0.35">
      <c r="A72" s="1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ht="0.75" hidden="1" customHeight="1" x14ac:dyDescent="0.35">
      <c r="A73" s="11" t="s">
        <v>10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hidden="1" x14ac:dyDescent="0.35">
      <c r="A74" s="9" t="s">
        <v>11</v>
      </c>
      <c r="B74" s="8">
        <f t="shared" ref="B74:O74" si="82">B63</f>
        <v>500564.15406399994</v>
      </c>
      <c r="C74" s="8">
        <f t="shared" si="82"/>
        <v>750652.48358580004</v>
      </c>
      <c r="D74" s="8">
        <f t="shared" si="82"/>
        <v>748552.30291756231</v>
      </c>
      <c r="E74" s="8">
        <f t="shared" si="82"/>
        <v>790306.58600338048</v>
      </c>
      <c r="F74" s="8">
        <f t="shared" si="82"/>
        <v>796442.34612093656</v>
      </c>
      <c r="G74" s="8">
        <f t="shared" si="82"/>
        <v>802732.98627738876</v>
      </c>
      <c r="H74" s="8">
        <f t="shared" si="82"/>
        <v>808068.4458635248</v>
      </c>
      <c r="I74" s="8">
        <f t="shared" si="82"/>
        <v>813909.48827434517</v>
      </c>
      <c r="J74" s="8">
        <f t="shared" si="82"/>
        <v>820782.67542938655</v>
      </c>
      <c r="K74" s="8">
        <f t="shared" si="82"/>
        <v>828350.19275246875</v>
      </c>
      <c r="L74" s="8">
        <f t="shared" si="82"/>
        <v>836322.74681876868</v>
      </c>
      <c r="M74" s="8">
        <f t="shared" si="82"/>
        <v>845304.18582211027</v>
      </c>
      <c r="N74" s="8">
        <f t="shared" si="82"/>
        <v>854944.69535355153</v>
      </c>
      <c r="O74" s="8">
        <f t="shared" si="82"/>
        <v>864950.61148179986</v>
      </c>
      <c r="P74" s="8">
        <f t="shared" ref="P74" si="83">P63</f>
        <v>875964.15091899096</v>
      </c>
    </row>
    <row r="75" spans="1:16" hidden="1" x14ac:dyDescent="0.35">
      <c r="A75" s="9" t="s">
        <v>25</v>
      </c>
      <c r="B75" s="8">
        <f t="shared" ref="B75:P75" si="84">B28</f>
        <v>502211.13</v>
      </c>
      <c r="C75" s="8">
        <f t="shared" si="84"/>
        <v>525334.46</v>
      </c>
      <c r="D75" s="8">
        <f t="shared" si="84"/>
        <v>539235.65686702635</v>
      </c>
      <c r="E75" s="8">
        <f t="shared" si="84"/>
        <v>550954.42459538102</v>
      </c>
      <c r="F75" s="8">
        <f t="shared" si="84"/>
        <v>558529.82701658795</v>
      </c>
      <c r="G75" s="8">
        <f t="shared" si="84"/>
        <v>565642.62702474662</v>
      </c>
      <c r="H75" s="8">
        <f t="shared" si="84"/>
        <v>571463.37943089707</v>
      </c>
      <c r="I75" s="8">
        <f t="shared" si="84"/>
        <v>577695.66977901524</v>
      </c>
      <c r="J75" s="8">
        <f t="shared" si="84"/>
        <v>584317.19564740104</v>
      </c>
      <c r="K75" s="8">
        <f t="shared" si="84"/>
        <v>591297.2463347317</v>
      </c>
      <c r="L75" s="8">
        <f t="shared" si="84"/>
        <v>598612.41202447494</v>
      </c>
      <c r="M75" s="8">
        <f t="shared" si="84"/>
        <v>606261.74523268559</v>
      </c>
      <c r="N75" s="8">
        <f t="shared" si="84"/>
        <v>614232.24816572038</v>
      </c>
      <c r="O75" s="8">
        <f t="shared" si="84"/>
        <v>622522.53581841243</v>
      </c>
      <c r="P75" s="8">
        <f t="shared" si="84"/>
        <v>631107.08886211843</v>
      </c>
    </row>
    <row r="76" spans="1:16" hidden="1" x14ac:dyDescent="0.35">
      <c r="A76" s="9" t="s">
        <v>17</v>
      </c>
      <c r="B76" s="8">
        <f t="shared" ref="B76:O76" si="85">B74-B75</f>
        <v>-1646.9759360000608</v>
      </c>
      <c r="C76" s="8">
        <f t="shared" si="85"/>
        <v>225318.02358580008</v>
      </c>
      <c r="D76" s="8">
        <f t="shared" si="85"/>
        <v>209316.64605053596</v>
      </c>
      <c r="E76" s="8">
        <f t="shared" si="85"/>
        <v>239352.16140799946</v>
      </c>
      <c r="F76" s="8">
        <f t="shared" si="85"/>
        <v>237912.51910434861</v>
      </c>
      <c r="G76" s="8">
        <f t="shared" si="85"/>
        <v>237090.35925264214</v>
      </c>
      <c r="H76" s="8">
        <f t="shared" si="85"/>
        <v>236605.06643262773</v>
      </c>
      <c r="I76" s="8">
        <f t="shared" si="85"/>
        <v>236213.81849532994</v>
      </c>
      <c r="J76" s="8">
        <f t="shared" si="85"/>
        <v>236465.47978198552</v>
      </c>
      <c r="K76" s="8">
        <f t="shared" si="85"/>
        <v>237052.94641773705</v>
      </c>
      <c r="L76" s="8">
        <f t="shared" si="85"/>
        <v>237710.33479429374</v>
      </c>
      <c r="M76" s="8">
        <f t="shared" si="85"/>
        <v>239042.44058942469</v>
      </c>
      <c r="N76" s="8">
        <f t="shared" si="85"/>
        <v>240712.44718783116</v>
      </c>
      <c r="O76" s="8">
        <f t="shared" si="85"/>
        <v>242428.07566338743</v>
      </c>
      <c r="P76" s="8">
        <f t="shared" ref="P76" si="86">P74-P75</f>
        <v>244857.06205687253</v>
      </c>
    </row>
    <row r="77" spans="1:16" hidden="1" x14ac:dyDescent="0.35">
      <c r="A77" s="9" t="s">
        <v>15</v>
      </c>
      <c r="B77" s="8" t="e">
        <f>#REF!+#REF!</f>
        <v>#REF!</v>
      </c>
      <c r="C77" s="8" t="e">
        <f>#REF!+#REF!</f>
        <v>#REF!</v>
      </c>
      <c r="D77" s="8" t="e">
        <f>#REF!+#REF!</f>
        <v>#REF!</v>
      </c>
      <c r="E77" s="8" t="e">
        <f>#REF!+#REF!</f>
        <v>#REF!</v>
      </c>
      <c r="F77" s="8" t="e">
        <f>#REF!+#REF!</f>
        <v>#REF!</v>
      </c>
      <c r="G77" s="8" t="e">
        <f>#REF!+#REF!</f>
        <v>#REF!</v>
      </c>
      <c r="H77" s="8" t="e">
        <f>#REF!+#REF!</f>
        <v>#REF!</v>
      </c>
      <c r="I77" s="8" t="e">
        <f>#REF!+#REF!</f>
        <v>#REF!</v>
      </c>
      <c r="J77" s="8" t="e">
        <f>#REF!+#REF!</f>
        <v>#REF!</v>
      </c>
      <c r="K77" s="8" t="e">
        <f>#REF!+#REF!</f>
        <v>#REF!</v>
      </c>
      <c r="L77" s="8" t="e">
        <f>#REF!+#REF!</f>
        <v>#REF!</v>
      </c>
      <c r="M77" s="8" t="e">
        <f>#REF!+#REF!</f>
        <v>#REF!</v>
      </c>
      <c r="N77" s="8" t="e">
        <f>#REF!+#REF!</f>
        <v>#REF!</v>
      </c>
      <c r="O77" s="8" t="e">
        <f>#REF!+#REF!</f>
        <v>#REF!</v>
      </c>
      <c r="P77" s="8" t="e">
        <f>#REF!+#REF!</f>
        <v>#REF!</v>
      </c>
    </row>
    <row r="78" spans="1:16" ht="15" hidden="1" customHeight="1" x14ac:dyDescent="0.35">
      <c r="A78" s="10" t="s">
        <v>18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hidden="1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hidden="1" x14ac:dyDescent="0.35">
      <c r="A80" s="7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7"/>
      <c r="N80" s="7"/>
      <c r="O80" s="7"/>
      <c r="P80" s="7"/>
    </row>
    <row r="81" spans="1:16" x14ac:dyDescent="0.35">
      <c r="A81" s="10" t="s">
        <v>24</v>
      </c>
      <c r="B81" s="17">
        <v>2023</v>
      </c>
      <c r="C81" s="17">
        <v>2024</v>
      </c>
      <c r="D81" s="17">
        <f t="shared" ref="D81" si="87">C81+1</f>
        <v>2025</v>
      </c>
      <c r="E81" s="17">
        <f t="shared" ref="E81" si="88">D81+1</f>
        <v>2026</v>
      </c>
      <c r="F81" s="17">
        <f t="shared" ref="F81" si="89">E81+1</f>
        <v>2027</v>
      </c>
      <c r="G81" s="17">
        <f t="shared" ref="G81" si="90">F81+1</f>
        <v>2028</v>
      </c>
      <c r="H81" s="17">
        <f t="shared" ref="H81" si="91">G81+1</f>
        <v>2029</v>
      </c>
      <c r="I81" s="17">
        <f t="shared" ref="I81" si="92">H81+1</f>
        <v>2030</v>
      </c>
      <c r="J81" s="17">
        <f t="shared" ref="J81" si="93">I81+1</f>
        <v>2031</v>
      </c>
      <c r="K81" s="17">
        <f t="shared" ref="K81" si="94">J81+1</f>
        <v>2032</v>
      </c>
      <c r="L81" s="17">
        <f t="shared" ref="L81" si="95">K81+1</f>
        <v>2033</v>
      </c>
      <c r="M81" s="17">
        <f t="shared" ref="M81" si="96">L81+1</f>
        <v>2034</v>
      </c>
      <c r="N81" s="17">
        <f t="shared" ref="N81" si="97">M81+1</f>
        <v>2035</v>
      </c>
      <c r="O81" s="17">
        <f t="shared" ref="O81:P81" si="98">N81+1</f>
        <v>2036</v>
      </c>
      <c r="P81" s="17">
        <f t="shared" si="98"/>
        <v>2037</v>
      </c>
    </row>
    <row r="82" spans="1:16" x14ac:dyDescent="0.35">
      <c r="A82" s="9" t="s">
        <v>11</v>
      </c>
      <c r="B82" s="8">
        <f t="shared" ref="B82:O82" si="99">B63</f>
        <v>500564.15406399994</v>
      </c>
      <c r="C82" s="8">
        <f t="shared" si="99"/>
        <v>750652.48358580004</v>
      </c>
      <c r="D82" s="8">
        <f t="shared" si="99"/>
        <v>748552.30291756231</v>
      </c>
      <c r="E82" s="8">
        <f t="shared" si="99"/>
        <v>790306.58600338048</v>
      </c>
      <c r="F82" s="8">
        <f t="shared" si="99"/>
        <v>796442.34612093656</v>
      </c>
      <c r="G82" s="8">
        <f t="shared" si="99"/>
        <v>802732.98627738876</v>
      </c>
      <c r="H82" s="8">
        <f t="shared" si="99"/>
        <v>808068.4458635248</v>
      </c>
      <c r="I82" s="8">
        <f t="shared" si="99"/>
        <v>813909.48827434517</v>
      </c>
      <c r="J82" s="8">
        <f t="shared" si="99"/>
        <v>820782.67542938655</v>
      </c>
      <c r="K82" s="8">
        <f t="shared" si="99"/>
        <v>828350.19275246875</v>
      </c>
      <c r="L82" s="8">
        <f t="shared" si="99"/>
        <v>836322.74681876868</v>
      </c>
      <c r="M82" s="8">
        <f t="shared" si="99"/>
        <v>845304.18582211027</v>
      </c>
      <c r="N82" s="8">
        <f t="shared" si="99"/>
        <v>854944.69535355153</v>
      </c>
      <c r="O82" s="8">
        <f t="shared" si="99"/>
        <v>864950.61148179986</v>
      </c>
      <c r="P82" s="8">
        <f t="shared" ref="P82" si="100">P63</f>
        <v>875964.15091899096</v>
      </c>
    </row>
    <row r="83" spans="1:16" x14ac:dyDescent="0.35">
      <c r="A83" s="9" t="s">
        <v>19</v>
      </c>
      <c r="B83" s="8">
        <f t="shared" ref="B83:P83" si="101">B28</f>
        <v>502211.13</v>
      </c>
      <c r="C83" s="8">
        <f t="shared" si="101"/>
        <v>525334.46</v>
      </c>
      <c r="D83" s="8">
        <f t="shared" si="101"/>
        <v>539235.65686702635</v>
      </c>
      <c r="E83" s="8">
        <f t="shared" si="101"/>
        <v>550954.42459538102</v>
      </c>
      <c r="F83" s="8">
        <f t="shared" si="101"/>
        <v>558529.82701658795</v>
      </c>
      <c r="G83" s="8">
        <f t="shared" si="101"/>
        <v>565642.62702474662</v>
      </c>
      <c r="H83" s="8">
        <f t="shared" si="101"/>
        <v>571463.37943089707</v>
      </c>
      <c r="I83" s="8">
        <f t="shared" si="101"/>
        <v>577695.66977901524</v>
      </c>
      <c r="J83" s="8">
        <f t="shared" si="101"/>
        <v>584317.19564740104</v>
      </c>
      <c r="K83" s="8">
        <f t="shared" si="101"/>
        <v>591297.2463347317</v>
      </c>
      <c r="L83" s="8">
        <f t="shared" si="101"/>
        <v>598612.41202447494</v>
      </c>
      <c r="M83" s="8">
        <f t="shared" si="101"/>
        <v>606261.74523268559</v>
      </c>
      <c r="N83" s="8">
        <f t="shared" si="101"/>
        <v>614232.24816572038</v>
      </c>
      <c r="O83" s="8">
        <f t="shared" si="101"/>
        <v>622522.53581841243</v>
      </c>
      <c r="P83" s="8">
        <f t="shared" si="101"/>
        <v>631107.08886211843</v>
      </c>
    </row>
    <row r="84" spans="1:16" x14ac:dyDescent="0.35">
      <c r="A84" s="9" t="s">
        <v>22</v>
      </c>
      <c r="B84" s="8">
        <f t="shared" ref="B84" si="102">B30</f>
        <v>125663.91</v>
      </c>
      <c r="C84" s="8">
        <f t="shared" ref="C84:P84" si="103">C30</f>
        <v>98592.2</v>
      </c>
      <c r="D84" s="8">
        <f t="shared" si="103"/>
        <v>97141.034</v>
      </c>
      <c r="E84" s="8">
        <f t="shared" si="103"/>
        <v>96626.802979999993</v>
      </c>
      <c r="F84" s="8">
        <f t="shared" si="103"/>
        <v>96199.998890599993</v>
      </c>
      <c r="G84" s="8">
        <f t="shared" si="103"/>
        <v>95857.998923881984</v>
      </c>
      <c r="H84" s="8">
        <f t="shared" si="103"/>
        <v>95838.258956165519</v>
      </c>
      <c r="I84" s="8">
        <f t="shared" si="103"/>
        <v>95898.311187480547</v>
      </c>
      <c r="J84" s="8">
        <f t="shared" si="103"/>
        <v>96035.761851856136</v>
      </c>
      <c r="K84" s="8">
        <f t="shared" si="103"/>
        <v>96512.288996300456</v>
      </c>
      <c r="L84" s="8">
        <f t="shared" si="103"/>
        <v>97061.640326411434</v>
      </c>
      <c r="M84" s="8">
        <f t="shared" si="103"/>
        <v>97681.631116619086</v>
      </c>
      <c r="N84" s="8">
        <f t="shared" si="103"/>
        <v>98660.542183120502</v>
      </c>
      <c r="O84" s="8">
        <f t="shared" si="103"/>
        <v>99705.917917626895</v>
      </c>
      <c r="P84" s="8">
        <f t="shared" si="103"/>
        <v>100815.76438009809</v>
      </c>
    </row>
    <row r="85" spans="1:16" x14ac:dyDescent="0.35">
      <c r="A85" s="41" t="s">
        <v>23</v>
      </c>
      <c r="B85" s="39">
        <f t="shared" ref="B85" si="104">B82-B83</f>
        <v>-1646.9759360000608</v>
      </c>
      <c r="C85" s="39">
        <f t="shared" ref="C85:O85" si="105">C82-C83</f>
        <v>225318.02358580008</v>
      </c>
      <c r="D85" s="39">
        <f t="shared" si="105"/>
        <v>209316.64605053596</v>
      </c>
      <c r="E85" s="39">
        <f t="shared" si="105"/>
        <v>239352.16140799946</v>
      </c>
      <c r="F85" s="39">
        <f t="shared" si="105"/>
        <v>237912.51910434861</v>
      </c>
      <c r="G85" s="39">
        <f t="shared" si="105"/>
        <v>237090.35925264214</v>
      </c>
      <c r="H85" s="39">
        <f t="shared" si="105"/>
        <v>236605.06643262773</v>
      </c>
      <c r="I85" s="39">
        <f t="shared" si="105"/>
        <v>236213.81849532994</v>
      </c>
      <c r="J85" s="39">
        <f t="shared" si="105"/>
        <v>236465.47978198552</v>
      </c>
      <c r="K85" s="39">
        <f t="shared" si="105"/>
        <v>237052.94641773705</v>
      </c>
      <c r="L85" s="39">
        <f t="shared" si="105"/>
        <v>237710.33479429374</v>
      </c>
      <c r="M85" s="39">
        <f t="shared" si="105"/>
        <v>239042.44058942469</v>
      </c>
      <c r="N85" s="39">
        <f t="shared" si="105"/>
        <v>240712.44718783116</v>
      </c>
      <c r="O85" s="39">
        <f t="shared" si="105"/>
        <v>242428.07566338743</v>
      </c>
      <c r="P85" s="39">
        <f t="shared" ref="P85" si="106">P82-P83</f>
        <v>244857.06205687253</v>
      </c>
    </row>
    <row r="86" spans="1:16" x14ac:dyDescent="0.35">
      <c r="A86" s="41" t="s">
        <v>27</v>
      </c>
      <c r="B86" s="39">
        <f t="shared" ref="B86" si="107">B82-(B83+B84)</f>
        <v>-127310.88593600009</v>
      </c>
      <c r="C86" s="39">
        <f t="shared" ref="C86:O86" si="108">C82-(C83+C84)</f>
        <v>126725.82358580013</v>
      </c>
      <c r="D86" s="39">
        <f t="shared" si="108"/>
        <v>112175.61205053597</v>
      </c>
      <c r="E86" s="39">
        <f t="shared" si="108"/>
        <v>142725.35842799942</v>
      </c>
      <c r="F86" s="39">
        <f t="shared" si="108"/>
        <v>141712.52021374856</v>
      </c>
      <c r="G86" s="39">
        <f t="shared" si="108"/>
        <v>141232.36032876011</v>
      </c>
      <c r="H86" s="39">
        <f t="shared" si="108"/>
        <v>140766.80747646221</v>
      </c>
      <c r="I86" s="39">
        <f t="shared" si="108"/>
        <v>140315.50730784936</v>
      </c>
      <c r="J86" s="39">
        <f t="shared" si="108"/>
        <v>140429.71793012938</v>
      </c>
      <c r="K86" s="39">
        <f t="shared" si="108"/>
        <v>140540.65742143663</v>
      </c>
      <c r="L86" s="39">
        <f t="shared" si="108"/>
        <v>140648.69446788228</v>
      </c>
      <c r="M86" s="39">
        <f t="shared" si="108"/>
        <v>141360.80947280559</v>
      </c>
      <c r="N86" s="39">
        <f t="shared" si="108"/>
        <v>142051.90500471066</v>
      </c>
      <c r="O86" s="39">
        <f t="shared" si="108"/>
        <v>142722.15774576052</v>
      </c>
      <c r="P86" s="39">
        <f t="shared" ref="P86" si="109">P82-(P83+P84)</f>
        <v>144041.29767677444</v>
      </c>
    </row>
    <row r="87" spans="1:16" x14ac:dyDescent="0.35">
      <c r="B87" s="7"/>
      <c r="C87" s="7"/>
    </row>
    <row r="88" spans="1:16" x14ac:dyDescent="0.35">
      <c r="A88" s="10" t="s">
        <v>63</v>
      </c>
      <c r="B88" s="9"/>
      <c r="C88" s="9"/>
      <c r="D88" s="17">
        <v>2025</v>
      </c>
      <c r="E88" s="17">
        <f t="shared" ref="E88" si="110">D88+1</f>
        <v>2026</v>
      </c>
      <c r="F88" s="17">
        <f t="shared" ref="F88" si="111">E88+1</f>
        <v>2027</v>
      </c>
      <c r="G88" s="17">
        <f t="shared" ref="G88" si="112">F88+1</f>
        <v>2028</v>
      </c>
      <c r="H88" s="17">
        <f t="shared" ref="H88" si="113">G88+1</f>
        <v>2029</v>
      </c>
      <c r="I88" s="17">
        <f t="shared" ref="I88" si="114">H88+1</f>
        <v>2030</v>
      </c>
      <c r="J88" s="17">
        <f t="shared" ref="J88" si="115">I88+1</f>
        <v>2031</v>
      </c>
      <c r="K88" s="17">
        <f t="shared" ref="K88" si="116">J88+1</f>
        <v>2032</v>
      </c>
      <c r="L88" s="17">
        <f t="shared" ref="L88" si="117">K88+1</f>
        <v>2033</v>
      </c>
      <c r="M88" s="17">
        <f t="shared" ref="M88" si="118">L88+1</f>
        <v>2034</v>
      </c>
      <c r="N88" s="17">
        <f t="shared" ref="N88" si="119">M88+1</f>
        <v>2035</v>
      </c>
      <c r="O88" s="17">
        <f t="shared" ref="O88:P88" si="120">N88+1</f>
        <v>2036</v>
      </c>
      <c r="P88" s="17">
        <f t="shared" si="120"/>
        <v>2037</v>
      </c>
    </row>
    <row r="89" spans="1:16" x14ac:dyDescent="0.35">
      <c r="A89" s="9" t="s">
        <v>35</v>
      </c>
      <c r="B89" s="9"/>
      <c r="C89" s="9"/>
      <c r="D89" s="22">
        <f t="shared" ref="D89:O89" si="121">D63</f>
        <v>748552.30291756231</v>
      </c>
      <c r="E89" s="22">
        <f t="shared" si="121"/>
        <v>790306.58600338048</v>
      </c>
      <c r="F89" s="22">
        <f t="shared" si="121"/>
        <v>796442.34612093656</v>
      </c>
      <c r="G89" s="22">
        <f t="shared" si="121"/>
        <v>802732.98627738876</v>
      </c>
      <c r="H89" s="22">
        <f t="shared" si="121"/>
        <v>808068.4458635248</v>
      </c>
      <c r="I89" s="22">
        <f t="shared" si="121"/>
        <v>813909.48827434517</v>
      </c>
      <c r="J89" s="22">
        <f t="shared" si="121"/>
        <v>820782.67542938655</v>
      </c>
      <c r="K89" s="22">
        <f t="shared" si="121"/>
        <v>828350.19275246875</v>
      </c>
      <c r="L89" s="22">
        <f t="shared" si="121"/>
        <v>836322.74681876868</v>
      </c>
      <c r="M89" s="22">
        <f t="shared" si="121"/>
        <v>845304.18582211027</v>
      </c>
      <c r="N89" s="22">
        <f t="shared" si="121"/>
        <v>854944.69535355153</v>
      </c>
      <c r="O89" s="22">
        <f t="shared" si="121"/>
        <v>864950.61148179986</v>
      </c>
      <c r="P89" s="22">
        <f t="shared" ref="P89" si="122">P63</f>
        <v>875964.15091899096</v>
      </c>
    </row>
    <row r="90" spans="1:16" ht="14.4" customHeight="1" x14ac:dyDescent="0.35">
      <c r="A90" s="43" t="s">
        <v>48</v>
      </c>
      <c r="B90" s="9"/>
      <c r="C90" s="9"/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</row>
    <row r="91" spans="1:16" x14ac:dyDescent="0.35">
      <c r="A91" s="9" t="s">
        <v>36</v>
      </c>
      <c r="B91" s="9"/>
      <c r="C91" s="9"/>
      <c r="D91" s="22">
        <f t="shared" ref="D91:P91" si="123">D28</f>
        <v>539235.65686702635</v>
      </c>
      <c r="E91" s="22">
        <f t="shared" si="123"/>
        <v>550954.42459538102</v>
      </c>
      <c r="F91" s="22">
        <f t="shared" si="123"/>
        <v>558529.82701658795</v>
      </c>
      <c r="G91" s="22">
        <f t="shared" si="123"/>
        <v>565642.62702474662</v>
      </c>
      <c r="H91" s="22">
        <f t="shared" si="123"/>
        <v>571463.37943089707</v>
      </c>
      <c r="I91" s="22">
        <f t="shared" si="123"/>
        <v>577695.66977901524</v>
      </c>
      <c r="J91" s="22">
        <f t="shared" si="123"/>
        <v>584317.19564740104</v>
      </c>
      <c r="K91" s="22">
        <f t="shared" si="123"/>
        <v>591297.2463347317</v>
      </c>
      <c r="L91" s="22">
        <f t="shared" si="123"/>
        <v>598612.41202447494</v>
      </c>
      <c r="M91" s="22">
        <f t="shared" si="123"/>
        <v>606261.74523268559</v>
      </c>
      <c r="N91" s="22">
        <f t="shared" si="123"/>
        <v>614232.24816572038</v>
      </c>
      <c r="O91" s="22">
        <f t="shared" si="123"/>
        <v>622522.53581841243</v>
      </c>
      <c r="P91" s="22">
        <f t="shared" si="123"/>
        <v>631107.08886211843</v>
      </c>
    </row>
    <row r="92" spans="1:16" x14ac:dyDescent="0.35">
      <c r="A92" s="9" t="s">
        <v>37</v>
      </c>
      <c r="B92" s="9"/>
      <c r="C92" s="9"/>
      <c r="D92" s="22">
        <v>80000</v>
      </c>
      <c r="E92" s="22">
        <v>80000</v>
      </c>
      <c r="F92" s="22">
        <v>80000</v>
      </c>
      <c r="G92" s="22">
        <v>88000</v>
      </c>
      <c r="H92" s="22">
        <v>88000</v>
      </c>
      <c r="I92" s="22">
        <v>88000</v>
      </c>
      <c r="J92" s="22">
        <v>96800.000000000015</v>
      </c>
      <c r="K92" s="22">
        <v>96800.000000000015</v>
      </c>
      <c r="L92" s="22">
        <v>96800.000000000015</v>
      </c>
      <c r="M92" s="22">
        <v>106480.00000000003</v>
      </c>
      <c r="N92" s="22">
        <v>106480.00000000003</v>
      </c>
      <c r="O92" s="22">
        <v>106480.00000000003</v>
      </c>
      <c r="P92" s="22">
        <v>117128.00000000004</v>
      </c>
    </row>
    <row r="93" spans="1:16" x14ac:dyDescent="0.35">
      <c r="A93" s="9" t="s">
        <v>38</v>
      </c>
      <c r="B93" s="9"/>
      <c r="C93" s="9"/>
      <c r="D93" s="22">
        <f>D69+D70</f>
        <v>36102.230462500003</v>
      </c>
      <c r="E93" s="22">
        <f t="shared" ref="E93:P93" si="124">E69+E70</f>
        <v>37948.5117875</v>
      </c>
      <c r="F93" s="22">
        <f t="shared" si="124"/>
        <v>36576.853112500001</v>
      </c>
      <c r="G93" s="22">
        <f t="shared" si="124"/>
        <v>28937.4267975</v>
      </c>
      <c r="H93" s="22">
        <f t="shared" si="124"/>
        <v>32429.479359999994</v>
      </c>
      <c r="I93" s="22">
        <f t="shared" si="124"/>
        <v>29044.785789999998</v>
      </c>
      <c r="J93" s="22">
        <f t="shared" si="124"/>
        <v>31075.33957</v>
      </c>
      <c r="K93" s="22">
        <f t="shared" si="124"/>
        <v>29937.893349999998</v>
      </c>
      <c r="L93" s="22">
        <f t="shared" si="124"/>
        <v>24735.895120000001</v>
      </c>
      <c r="M93" s="22">
        <f t="shared" si="124"/>
        <v>15648</v>
      </c>
      <c r="N93" s="22">
        <f t="shared" si="124"/>
        <v>18406.400000000001</v>
      </c>
      <c r="O93" s="22">
        <f t="shared" si="124"/>
        <v>21164.799999999999</v>
      </c>
      <c r="P93" s="22">
        <f t="shared" si="124"/>
        <v>20435.2</v>
      </c>
    </row>
    <row r="94" spans="1:16" x14ac:dyDescent="0.35">
      <c r="A94" s="41" t="s">
        <v>64</v>
      </c>
      <c r="B94" s="41"/>
      <c r="C94" s="41"/>
      <c r="D94" s="46">
        <f t="shared" ref="D94:P94" si="125">D89+D90-D91-D92-D93</f>
        <v>93214.415588035947</v>
      </c>
      <c r="E94" s="46">
        <f t="shared" si="125"/>
        <v>121403.64962049946</v>
      </c>
      <c r="F94" s="46">
        <f t="shared" si="125"/>
        <v>121335.66599184861</v>
      </c>
      <c r="G94" s="46">
        <f t="shared" si="125"/>
        <v>120152.93245514215</v>
      </c>
      <c r="H94" s="46">
        <f t="shared" si="125"/>
        <v>116175.58707262774</v>
      </c>
      <c r="I94" s="46">
        <f t="shared" si="125"/>
        <v>119169.03270532994</v>
      </c>
      <c r="J94" s="46">
        <f t="shared" si="125"/>
        <v>108590.14021198552</v>
      </c>
      <c r="K94" s="46">
        <f t="shared" si="125"/>
        <v>110315.05306773706</v>
      </c>
      <c r="L94" s="46">
        <f t="shared" si="125"/>
        <v>116174.43967429374</v>
      </c>
      <c r="M94" s="46">
        <f t="shared" si="125"/>
        <v>116914.44058942466</v>
      </c>
      <c r="N94" s="46">
        <f t="shared" si="125"/>
        <v>115826.04718783114</v>
      </c>
      <c r="O94" s="46">
        <f t="shared" si="125"/>
        <v>114783.27566338739</v>
      </c>
      <c r="P94" s="46">
        <f t="shared" si="125"/>
        <v>107293.86205687249</v>
      </c>
    </row>
    <row r="95" spans="1:16" x14ac:dyDescent="0.35">
      <c r="A95" s="41" t="s">
        <v>61</v>
      </c>
      <c r="B95" s="41"/>
      <c r="C95" s="41"/>
      <c r="D95" s="46">
        <f>C95+D94</f>
        <v>93214.415588035947</v>
      </c>
      <c r="E95" s="46">
        <f t="shared" ref="E95:P95" si="126">D95+E94</f>
        <v>214618.06520853541</v>
      </c>
      <c r="F95" s="46">
        <f t="shared" si="126"/>
        <v>335953.73120038403</v>
      </c>
      <c r="G95" s="46">
        <f t="shared" si="126"/>
        <v>456106.66365552618</v>
      </c>
      <c r="H95" s="46">
        <f t="shared" si="126"/>
        <v>572282.25072815386</v>
      </c>
      <c r="I95" s="46">
        <f t="shared" si="126"/>
        <v>691451.2834334838</v>
      </c>
      <c r="J95" s="46">
        <f t="shared" si="126"/>
        <v>800041.42364546936</v>
      </c>
      <c r="K95" s="46">
        <f t="shared" si="126"/>
        <v>910356.47671320639</v>
      </c>
      <c r="L95" s="46">
        <f t="shared" si="126"/>
        <v>1026530.9163875001</v>
      </c>
      <c r="M95" s="46">
        <f t="shared" si="126"/>
        <v>1143445.3569769247</v>
      </c>
      <c r="N95" s="46">
        <f t="shared" si="126"/>
        <v>1259271.4041647557</v>
      </c>
      <c r="O95" s="46">
        <f t="shared" si="126"/>
        <v>1374054.6798281432</v>
      </c>
      <c r="P95" s="46">
        <f t="shared" si="126"/>
        <v>1481348.5418850158</v>
      </c>
    </row>
    <row r="96" spans="1:16" x14ac:dyDescent="0.35">
      <c r="B96" s="7"/>
      <c r="C96" s="7"/>
    </row>
    <row r="97" spans="2:3" x14ac:dyDescent="0.35">
      <c r="B97" s="7"/>
      <c r="C97" s="7"/>
    </row>
    <row r="98" spans="2:3" x14ac:dyDescent="0.35">
      <c r="B98" s="7"/>
      <c r="C98" s="7"/>
    </row>
    <row r="99" spans="2:3" x14ac:dyDescent="0.35">
      <c r="B99" s="7"/>
      <c r="C99" s="7"/>
    </row>
    <row r="100" spans="2:3" x14ac:dyDescent="0.35">
      <c r="B100" s="7"/>
      <c r="C100" s="7"/>
    </row>
    <row r="101" spans="2:3" x14ac:dyDescent="0.35">
      <c r="B101" s="7"/>
      <c r="C101" s="7"/>
    </row>
    <row r="102" spans="2:3" x14ac:dyDescent="0.35">
      <c r="B102" s="7"/>
      <c r="C102" s="7"/>
    </row>
    <row r="103" spans="2:3" x14ac:dyDescent="0.35">
      <c r="B103" s="7"/>
      <c r="C103" s="7"/>
    </row>
    <row r="104" spans="2:3" x14ac:dyDescent="0.35">
      <c r="B104" s="7"/>
      <c r="C104" s="7"/>
    </row>
    <row r="105" spans="2:3" x14ac:dyDescent="0.35">
      <c r="B105" s="7"/>
      <c r="C105" s="7"/>
    </row>
    <row r="106" spans="2:3" x14ac:dyDescent="0.35">
      <c r="B106" s="7"/>
      <c r="C106" s="7"/>
    </row>
    <row r="107" spans="2:3" x14ac:dyDescent="0.35">
      <c r="B107" s="7"/>
      <c r="C107" s="7"/>
    </row>
    <row r="108" spans="2:3" x14ac:dyDescent="0.35">
      <c r="B108" s="7"/>
      <c r="C108" s="7"/>
    </row>
    <row r="109" spans="2:3" x14ac:dyDescent="0.35">
      <c r="B109" s="7"/>
      <c r="C109" s="7"/>
    </row>
    <row r="110" spans="2:3" x14ac:dyDescent="0.35">
      <c r="B110" s="7"/>
      <c r="C110" s="7"/>
    </row>
    <row r="111" spans="2:3" x14ac:dyDescent="0.35">
      <c r="B111" s="7"/>
      <c r="C111" s="7"/>
    </row>
    <row r="112" spans="2:3" x14ac:dyDescent="0.35">
      <c r="B112" s="7"/>
      <c r="C112" s="7"/>
    </row>
    <row r="113" spans="2:3" x14ac:dyDescent="0.35">
      <c r="B113" s="7"/>
      <c r="C113" s="7"/>
    </row>
    <row r="114" spans="2:3" x14ac:dyDescent="0.35">
      <c r="B114" s="7"/>
      <c r="C114" s="7"/>
    </row>
    <row r="115" spans="2:3" x14ac:dyDescent="0.35">
      <c r="B115" s="7"/>
      <c r="C115" s="7"/>
    </row>
    <row r="116" spans="2:3" x14ac:dyDescent="0.35">
      <c r="B116" s="7"/>
      <c r="C116" s="7"/>
    </row>
    <row r="117" spans="2:3" x14ac:dyDescent="0.35">
      <c r="B117" s="7"/>
      <c r="C117" s="7"/>
    </row>
    <row r="118" spans="2:3" x14ac:dyDescent="0.35">
      <c r="B118" s="7"/>
      <c r="C118" s="7"/>
    </row>
    <row r="119" spans="2:3" x14ac:dyDescent="0.35">
      <c r="B119" s="7"/>
      <c r="C119" s="7"/>
    </row>
    <row r="120" spans="2:3" x14ac:dyDescent="0.35">
      <c r="B120" s="7"/>
      <c r="C120" s="7"/>
    </row>
    <row r="121" spans="2:3" x14ac:dyDescent="0.35">
      <c r="B121" s="7"/>
      <c r="C121" s="7"/>
    </row>
    <row r="122" spans="2:3" x14ac:dyDescent="0.35">
      <c r="B122" s="7"/>
      <c r="C122" s="7"/>
    </row>
    <row r="123" spans="2:3" x14ac:dyDescent="0.35">
      <c r="B123" s="7"/>
      <c r="C123" s="7"/>
    </row>
  </sheetData>
  <pageMargins left="0.7" right="0.7" top="0.75" bottom="0.75" header="0.3" footer="0.3"/>
  <pageSetup paperSize="9" orientation="portrait" r:id="rId1"/>
  <ignoredErrors>
    <ignoredError sqref="H23 D41:O41 D60" formula="1"/>
    <ignoredError sqref="C86:O86 B9 E9:O9" evalError="1"/>
    <ignoredError sqref="B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MAKO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2025-05-26T13:16:26Z</dcterms:modified>
</cp:coreProperties>
</file>